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1"/>
  <workbookPr showInkAnnotation="0" updateLinks="never" codeName="ThisWorkbook"/>
  <mc:AlternateContent xmlns:mc="http://schemas.openxmlformats.org/markup-compatibility/2006">
    <mc:Choice Requires="x15">
      <x15ac:absPath xmlns:x15ac="http://schemas.microsoft.com/office/spreadsheetml/2010/11/ac" url="https://earthshiftglobal0.sharepoint.com/sites/ESGlobal/Shared Documents/Excel Tools/45Q Calculator/"/>
    </mc:Choice>
  </mc:AlternateContent>
  <xr:revisionPtr revIDLastSave="0" documentId="8_{E92495ED-98D7-46E9-926A-F28D567B3F74}" xr6:coauthVersionLast="47" xr6:coauthVersionMax="47" xr10:uidLastSave="{00000000-0000-0000-0000-000000000000}"/>
  <bookViews>
    <workbookView xWindow="-120" yWindow="-120" windowWidth="29040" windowHeight="15720" xr2:uid="{00000000-000D-0000-FFFF-FFFF00000000}"/>
  </bookViews>
  <sheets>
    <sheet name="Instructions" sheetId="2" r:id="rId1"/>
    <sheet name="CO2 Production Data &amp; Results " sheetId="14" r:id="rId2"/>
    <sheet name="45Q Library" sheetId="15" state="veryHidden" r:id="rId3"/>
    <sheet name="45Q Calculations" sheetId="16" state="veryHidden" r:id="rId4"/>
    <sheet name="Unit Conversions" sheetId="17" state="veryHidden" r:id="rId5"/>
  </sheets>
  <externalReferences>
    <externalReference r:id="rId6"/>
  </externalReferences>
  <definedNames>
    <definedName name="ac2ha" localSheetId="4">'Unit Conversions'!$AF$3</definedName>
    <definedName name="ac2m2">'Unit Conversions'!$AF$7</definedName>
    <definedName name="acrefoot2m3" localSheetId="4">'Unit Conversions'!$X$38</definedName>
    <definedName name="atm2atm" localSheetId="4">'Unit Conversions'!$AD$16</definedName>
    <definedName name="atm2bar" localSheetId="4">'Unit Conversions'!$AD$15</definedName>
    <definedName name="atm2kPa" localSheetId="4">'Unit Conversions'!$AD$14</definedName>
    <definedName name="atm2mmHg" localSheetId="4">'Unit Conversions'!$AD$19</definedName>
    <definedName name="atm2psi" localSheetId="4">'Unit Conversions'!$AD$18</definedName>
    <definedName name="atm2Torr" localSheetId="4">'Unit Conversions'!$AD$17</definedName>
    <definedName name="atto" localSheetId="4">'Unit Conversions'!$O$21</definedName>
    <definedName name="AW_C" localSheetId="4">'Unit Conversions'!$T$38</definedName>
    <definedName name="AW_Ca">'Unit Conversions'!$T$40</definedName>
    <definedName name="AW_Cl" localSheetId="4">'Unit Conversions'!$T$31</definedName>
    <definedName name="AW_Na" localSheetId="4">'Unit Conversions'!$T$33</definedName>
    <definedName name="AW_P" localSheetId="4">'Unit Conversions'!$T$35</definedName>
    <definedName name="AW_S">'Unit Conversions'!$T$39</definedName>
    <definedName name="bar2atm" localSheetId="4">'Unit Conversions'!$AD$10</definedName>
    <definedName name="bar2bar" localSheetId="4">'Unit Conversions'!$AD$9</definedName>
    <definedName name="bar2kPa" localSheetId="4">'Unit Conversions'!$AD$8</definedName>
    <definedName name="bar2mmHg" localSheetId="4">'Unit Conversions'!$AD$13</definedName>
    <definedName name="bar2psi" localSheetId="4">'Unit Conversions'!$AD$12</definedName>
    <definedName name="bar2Torr" localSheetId="4">'Unit Conversions'!$AD$11</definedName>
    <definedName name="bbl2bbl" localSheetId="4">'Unit Conversions'!$X$37</definedName>
    <definedName name="bbl2ft3" localSheetId="4">'Unit Conversions'!$X$36</definedName>
    <definedName name="bbl2gal" localSheetId="4">'Unit Conversions'!$X$35</definedName>
    <definedName name="bbl2L" localSheetId="4">'Unit Conversions'!$X$34</definedName>
    <definedName name="bbl2m3" localSheetId="4">'Unit Conversions'!$X$32</definedName>
    <definedName name="bbl2ml" localSheetId="4">'Unit Conversions'!$X$33</definedName>
    <definedName name="BTU2BTU" localSheetId="4">'Unit Conversions'!$AB$47</definedName>
    <definedName name="BTU2Dth" localSheetId="4">'Unit Conversions'!$AB$91</definedName>
    <definedName name="Btu2hph" localSheetId="4">'Unit Conversions'!$AB$49</definedName>
    <definedName name="BTU2J" localSheetId="4">'Unit Conversions'!$AB$42</definedName>
    <definedName name="BTU2kCal" localSheetId="4">'Unit Conversions'!$AB$121</definedName>
    <definedName name="BTU2kJ" localSheetId="4">'Unit Conversions'!$AB$43</definedName>
    <definedName name="BTU2kWh" localSheetId="4">'Unit Conversions'!$AB$46</definedName>
    <definedName name="BTU2MJ" localSheetId="4">'Unit Conversions'!$AB$44</definedName>
    <definedName name="BTU2MMBTU" localSheetId="4">'Unit Conversions'!$AB$48</definedName>
    <definedName name="BTU2therm" localSheetId="4">'Unit Conversions'!$AB$101</definedName>
    <definedName name="BTU2Wh" localSheetId="4">'Unit Conversions'!$AB$45</definedName>
    <definedName name="bu2lb" localSheetId="4">'Unit Conversions'!$V$27</definedName>
    <definedName name="buMaize2lb">'Unit Conversions'!$V$31</definedName>
    <definedName name="buSoybean2lb">'Unit Conversions'!$V$32</definedName>
    <definedName name="centi" localSheetId="4">'Unit Conversions'!$O$15</definedName>
    <definedName name="CinCH4">'Unit Conversions'!$P$47</definedName>
    <definedName name="CinCO">'Unit Conversions'!$P$46</definedName>
    <definedName name="CinCO2">'Unit Conversions'!$P$48</definedName>
    <definedName name="CinVOC">'Unit Conversions'!$P$45</definedName>
    <definedName name="cm2cm" localSheetId="4">'Unit Conversions'!$Z$37</definedName>
    <definedName name="cm2ft" localSheetId="4">'Unit Conversions'!$Z$35</definedName>
    <definedName name="cm2in">'Unit Conversions'!$Z$39</definedName>
    <definedName name="cm2km" localSheetId="4">'Unit Conversions'!$Z$34</definedName>
    <definedName name="cm2m" localSheetId="4">'Unit Conversions'!$Z$33</definedName>
    <definedName name="cm2mi" localSheetId="4">'Unit Conversions'!$Z$36</definedName>
    <definedName name="cm2mm" localSheetId="4">'Unit Conversions'!$Z$32</definedName>
    <definedName name="CO2_EF_limestoneT1">'Unit Conversions'!$O$66</definedName>
    <definedName name="CO2_EF_urea">'Unit Conversions'!$O$67</definedName>
    <definedName name="cwt2lb">'Unit Conversions'!$V$35</definedName>
    <definedName name="deca" localSheetId="4">'Unit Conversions'!$O$12</definedName>
    <definedName name="deci" localSheetId="4">'Unit Conversions'!$O$14</definedName>
    <definedName name="Dth2BTU" localSheetId="4">'Unit Conversions'!$AB$71</definedName>
    <definedName name="Dth2Dth" localSheetId="4">'Unit Conversions'!$AB$95</definedName>
    <definedName name="Dth2hph" localSheetId="4">'Unit Conversions'!$AB$73</definedName>
    <definedName name="Dth2J" localSheetId="4">'Unit Conversions'!$AB$66</definedName>
    <definedName name="Dth2kCal" localSheetId="4">'Unit Conversions'!$AB$125</definedName>
    <definedName name="Dth2kJ" localSheetId="4">'Unit Conversions'!$AB$67</definedName>
    <definedName name="Dth2kWh" localSheetId="4">'Unit Conversions'!$AB$70</definedName>
    <definedName name="Dth2MJ" localSheetId="4">'Unit Conversions'!$AB$68</definedName>
    <definedName name="Dth2MMBTU" localSheetId="4">'Unit Conversions'!$AB$72</definedName>
    <definedName name="Dth2therm" localSheetId="4">'Unit Conversions'!$AB$105</definedName>
    <definedName name="Dth2Wh" localSheetId="4">'Unit Conversions'!$AB$69</definedName>
    <definedName name="exa" localSheetId="4">'Unit Conversions'!$O$5</definedName>
    <definedName name="FracGASF" localSheetId="4">'Unit Conversions'!$O$55</definedName>
    <definedName name="FracGASF_ammonium">'Unit Conversions'!$O$63</definedName>
    <definedName name="FracGASF_ammoniumnitrate">'Unit Conversions'!$O$65</definedName>
    <definedName name="FracGASF_nitrate">'Unit Conversions'!$O$64</definedName>
    <definedName name="FracGASF_Urea">'Unit Conversions'!$O$62</definedName>
    <definedName name="FracGASM2019">'Unit Conversions'!$O$60</definedName>
    <definedName name="FracLEACH" localSheetId="4">'Unit Conversions'!$O$58</definedName>
    <definedName name="FracLEACH2019">'Unit Conversions'!$O$61</definedName>
    <definedName name="ft2cm" localSheetId="4">'Unit Conversions'!$Z$25</definedName>
    <definedName name="ft2ft" localSheetId="4">'Unit Conversions'!$Z$23</definedName>
    <definedName name="ft2km" localSheetId="4">'Unit Conversions'!$Z$22</definedName>
    <definedName name="ft2m" localSheetId="4">'Unit Conversions'!$Z$21</definedName>
    <definedName name="ft2mi" localSheetId="4">'Unit Conversions'!$Z$24</definedName>
    <definedName name="ft2mm" localSheetId="4">'Unit Conversions'!$Z$20</definedName>
    <definedName name="ft32bbl" localSheetId="4">'Unit Conversions'!$X$31</definedName>
    <definedName name="ft32ft3" localSheetId="4">'Unit Conversions'!$X$30</definedName>
    <definedName name="ft32gal" localSheetId="4">'Unit Conversions'!$X$29</definedName>
    <definedName name="ft32L" localSheetId="4">'Unit Conversions'!$X$28</definedName>
    <definedName name="ft32m3" localSheetId="4">'Unit Conversions'!$X$26</definedName>
    <definedName name="ft32ml" localSheetId="4">'Unit Conversions'!$X$27</definedName>
    <definedName name="g2g" localSheetId="4">'Unit Conversions'!$V$2</definedName>
    <definedName name="g2kg" localSheetId="4">'Unit Conversions'!$V$3</definedName>
    <definedName name="g2kg">[1]conversions!$V$3</definedName>
    <definedName name="g2lb" localSheetId="4">'Unit Conversions'!$V$5</definedName>
    <definedName name="g2mg">'Unit Conversions'!$V$29</definedName>
    <definedName name="g2T" localSheetId="4">'Unit Conversions'!$V$4</definedName>
    <definedName name="g2UST" localSheetId="4">'Unit Conversions'!$V$6</definedName>
    <definedName name="gal2bbl" localSheetId="4">'Unit Conversions'!$X$25</definedName>
    <definedName name="gal2ft3" localSheetId="4">'Unit Conversions'!$X$24</definedName>
    <definedName name="gal2gal" localSheetId="4">'Unit Conversions'!$X$23</definedName>
    <definedName name="gal2L" localSheetId="4">'Unit Conversions'!$X$22</definedName>
    <definedName name="gal2m3" localSheetId="4">'Unit Conversions'!$X$20</definedName>
    <definedName name="gal2ml" localSheetId="4">'Unit Conversions'!$X$21</definedName>
    <definedName name="giga" localSheetId="4">'Unit Conversions'!$O$8</definedName>
    <definedName name="GWP100BC" localSheetId="4">'Unit Conversions'!$AH$16</definedName>
    <definedName name="GWP100CH4" localSheetId="4">'Unit Conversions'!$AH$6</definedName>
    <definedName name="GWP100CO" localSheetId="4">'Unit Conversions'!$AH$14</definedName>
    <definedName name="GWP100CO2" localSheetId="4">'Unit Conversions'!$AH$5</definedName>
    <definedName name="GWP100N2O" localSheetId="4">'Unit Conversions'!$AH$7</definedName>
    <definedName name="GWP100NOx" localSheetId="4">'Unit Conversions'!$AH$15</definedName>
    <definedName name="GWP100OC" localSheetId="4">'Unit Conversions'!$AH$17</definedName>
    <definedName name="GWP100VOC" localSheetId="4">'Unit Conversions'!$AH$13</definedName>
    <definedName name="GWP20BC" localSheetId="4">'Unit Conversions'!$AH$11</definedName>
    <definedName name="GWP20CH4" localSheetId="4">'Unit Conversions'!$AH$3</definedName>
    <definedName name="GWP20CO" localSheetId="4">'Unit Conversions'!$AH$9</definedName>
    <definedName name="GWP20CO2" localSheetId="4">'Unit Conversions'!$AH$2</definedName>
    <definedName name="GWP20N2O" localSheetId="4">'Unit Conversions'!$AH$4</definedName>
    <definedName name="GWP20NOx" localSheetId="4">'Unit Conversions'!$AH$10</definedName>
    <definedName name="GWP20OC" localSheetId="4">'Unit Conversions'!$AH$12</definedName>
    <definedName name="GWP20VOC" localSheetId="4">'Unit Conversions'!$AH$8</definedName>
    <definedName name="h2o_cgf" localSheetId="4">'Unit Conversions'!$B$79</definedName>
    <definedName name="h2o_cgm" localSheetId="4">'Unit Conversions'!$B$78</definedName>
    <definedName name="h2o_germ" localSheetId="4">'Unit Conversions'!$B$77</definedName>
    <definedName name="h2o_wcgf" localSheetId="4">'Unit Conversions'!$B$80</definedName>
    <definedName name="ha2ac" localSheetId="4">'Unit Conversions'!$AF$2</definedName>
    <definedName name="ha2m2">'Unit Conversions'!$AF$5</definedName>
    <definedName name="hecto" localSheetId="4">'Unit Conversions'!$O$11</definedName>
    <definedName name="hph2BTU" localSheetId="4">'Unit Conversions'!$AB$64</definedName>
    <definedName name="hph2Dth" localSheetId="4">'Unit Conversions'!$AB$93</definedName>
    <definedName name="hph2hph" localSheetId="4">'Unit Conversions'!$AB$65</definedName>
    <definedName name="hph2J" localSheetId="4">'Unit Conversions'!$AB$58</definedName>
    <definedName name="hph2kCal" localSheetId="4">'Unit Conversions'!$AB$123</definedName>
    <definedName name="hph2kJ" localSheetId="4">'Unit Conversions'!$AB$59</definedName>
    <definedName name="hph2kWh" localSheetId="4">'Unit Conversions'!$AB$60</definedName>
    <definedName name="hph2MJ" localSheetId="4">'Unit Conversions'!$AB$61</definedName>
    <definedName name="hph2MMBTU" localSheetId="4">'Unit Conversions'!$AB$62</definedName>
    <definedName name="hph2therm" localSheetId="4">'Unit Conversions'!$AB$103</definedName>
    <definedName name="hph2Wh" localSheetId="4">'Unit Conversions'!$AB$63</definedName>
    <definedName name="in2cm">'Unit Conversions'!$Z$38</definedName>
    <definedName name="J2BTU" localSheetId="4">'Unit Conversions'!$AB$7</definedName>
    <definedName name="J2Dth" localSheetId="4">'Unit Conversions'!$AB$86</definedName>
    <definedName name="J2hph" localSheetId="4">'Unit Conversions'!$AB$9</definedName>
    <definedName name="J2J" localSheetId="4">'Unit Conversions'!$AB$2</definedName>
    <definedName name="J2kCal" localSheetId="4">'Unit Conversions'!$AB$116</definedName>
    <definedName name="J2kJ" localSheetId="4">'Unit Conversions'!$AB$3</definedName>
    <definedName name="J2kWh" localSheetId="4">'Unit Conversions'!$AB$6</definedName>
    <definedName name="J2MJ" localSheetId="4">'Unit Conversions'!$AB$4</definedName>
    <definedName name="J2MMBTU" localSheetId="4">'Unit Conversions'!$AB$8</definedName>
    <definedName name="J2therm" localSheetId="4">'Unit Conversions'!$AB$96</definedName>
    <definedName name="J2Wh" localSheetId="4">'Unit Conversions'!$AB$5</definedName>
    <definedName name="kCal2BTU" localSheetId="4">'Unit Conversions'!$AB$111</definedName>
    <definedName name="kCal2Dth" localSheetId="4">'Unit Conversions'!$AB$115</definedName>
    <definedName name="kCal2hph" localSheetId="4">'Unit Conversions'!$AB$113</definedName>
    <definedName name="kCal2J" localSheetId="4">'Unit Conversions'!$AB$106</definedName>
    <definedName name="kCal2kJ" localSheetId="4">'Unit Conversions'!$AB$107</definedName>
    <definedName name="kCal2kWh" localSheetId="4">'Unit Conversions'!$AB$110</definedName>
    <definedName name="kCal2MJ" localSheetId="4">'Unit Conversions'!$AB$108</definedName>
    <definedName name="kCal2MMBTU" localSheetId="4">'Unit Conversions'!$AB$112</definedName>
    <definedName name="kCal2therm" localSheetId="4">'Unit Conversions'!$AB$114</definedName>
    <definedName name="kCal2Wh" localSheetId="4">'Unit Conversions'!$AB$109</definedName>
    <definedName name="kg2g" localSheetId="4">'Unit Conversions'!$V$7</definedName>
    <definedName name="kg2kg" localSheetId="4">'Unit Conversions'!$V$8</definedName>
    <definedName name="kg2lb" localSheetId="4">'Unit Conversions'!$V$10</definedName>
    <definedName name="kg2T" localSheetId="4">'Unit Conversions'!$V$9</definedName>
    <definedName name="kg2UST" localSheetId="4">'Unit Conversions'!$V$11</definedName>
    <definedName name="kgN2ONinkgN2O">'Unit Conversions'!$T$11</definedName>
    <definedName name="kgN2OtokgN2ON">'Unit Conversions'!$T$17</definedName>
    <definedName name="kgNH3NinkgNH3">'Unit Conversions'!$T$10</definedName>
    <definedName name="kgNH3tokgNH3N">'Unit Conversions'!$T$18</definedName>
    <definedName name="kgNO2NinkgNO2">'Unit Conversions'!$T$12</definedName>
    <definedName name="kgNO2tokgNO2N">'Unit Conversions'!$T$19</definedName>
    <definedName name="kgNO3NinkgNO3">'Unit Conversions'!$T$13</definedName>
    <definedName name="kgNO3tokgNO3N">'Unit Conversions'!$T$20</definedName>
    <definedName name="kilo" localSheetId="4">'Unit Conversions'!$O$10</definedName>
    <definedName name="kJ2BTU" localSheetId="4">'Unit Conversions'!$AB$15</definedName>
    <definedName name="kJ2Dth" localSheetId="4">'Unit Conversions'!$AB$87</definedName>
    <definedName name="kJ2hph" localSheetId="4">'Unit Conversions'!$AB$17</definedName>
    <definedName name="kJ2J" localSheetId="4">'Unit Conversions'!$AB$10</definedName>
    <definedName name="kJ2kCal" localSheetId="4">'Unit Conversions'!$AB$117</definedName>
    <definedName name="kJ2kJ" localSheetId="4">'Unit Conversions'!$AB$11</definedName>
    <definedName name="kJ2kWh" localSheetId="4">'Unit Conversions'!$AB$14</definedName>
    <definedName name="kJ2MJ" localSheetId="4">'Unit Conversions'!$AB$12</definedName>
    <definedName name="kJ2MMBTU" localSheetId="4">'Unit Conversions'!$AB$16</definedName>
    <definedName name="kJ2therm" localSheetId="4">'Unit Conversions'!$AB$97</definedName>
    <definedName name="kJ2Wh" localSheetId="4">'Unit Conversions'!$AB$13</definedName>
    <definedName name="km2cm" localSheetId="4">'Unit Conversions'!$Z$19</definedName>
    <definedName name="km2ft" localSheetId="4">'Unit Conversions'!$Z$17</definedName>
    <definedName name="km2km" localSheetId="4">'Unit Conversions'!$Z$16</definedName>
    <definedName name="km2m" localSheetId="4">'Unit Conversions'!$Z$15</definedName>
    <definedName name="km2mi" localSheetId="4">'Unit Conversions'!$Z$18</definedName>
    <definedName name="km2mm" localSheetId="4">'Unit Conversions'!$Z$14</definedName>
    <definedName name="kPa2atm" localSheetId="4">'Unit Conversions'!$AD$4</definedName>
    <definedName name="kPa2bar" localSheetId="4">'Unit Conversions'!$AD$3</definedName>
    <definedName name="kPa2kPa" localSheetId="4">'Unit Conversions'!$AD$2</definedName>
    <definedName name="kPa2mmHg" localSheetId="4">'Unit Conversions'!$AD$7</definedName>
    <definedName name="kPa2psi" localSheetId="4">'Unit Conversions'!$AD$6</definedName>
    <definedName name="kPa2Torr" localSheetId="4">'Unit Conversions'!$AD$5</definedName>
    <definedName name="kWh2BTU" localSheetId="4">'Unit Conversions'!$AB$39</definedName>
    <definedName name="kWh2Dth" localSheetId="4">'Unit Conversions'!$AB$90</definedName>
    <definedName name="kWh2hph" localSheetId="4">'Unit Conversions'!$AB$41</definedName>
    <definedName name="kWh2J" localSheetId="4">'Unit Conversions'!$AB$34</definedName>
    <definedName name="kWh2kCal" localSheetId="4">'Unit Conversions'!$AB$120</definedName>
    <definedName name="kWh2kJ" localSheetId="4">'Unit Conversions'!$AB$35</definedName>
    <definedName name="kWh2kWh" localSheetId="4">'Unit Conversions'!$AB$38</definedName>
    <definedName name="kWh2MJ" localSheetId="4">'Unit Conversions'!$AB$36</definedName>
    <definedName name="kWh2MMBTU" localSheetId="4">'Unit Conversions'!$AB$40</definedName>
    <definedName name="kWh2therm" localSheetId="4">'Unit Conversions'!$AB$100</definedName>
    <definedName name="kWh2Wh" localSheetId="4">'Unit Conversions'!$AB$37</definedName>
    <definedName name="L2bbl" localSheetId="4">'Unit Conversions'!$X$19</definedName>
    <definedName name="L2ft3" localSheetId="4">'Unit Conversions'!$X$18</definedName>
    <definedName name="L2gal" localSheetId="4">'Unit Conversions'!$X$17</definedName>
    <definedName name="L2L" localSheetId="4">'Unit Conversions'!$X$16</definedName>
    <definedName name="L2m3" localSheetId="4">'Unit Conversions'!$X$14</definedName>
    <definedName name="L2ml" localSheetId="4">'Unit Conversions'!$X$15</definedName>
    <definedName name="lb2bu" localSheetId="4">'Unit Conversions'!$V$28</definedName>
    <definedName name="lb2buMaize">'Unit Conversions'!$V$33</definedName>
    <definedName name="lb2buSoybean">'Unit Conversions'!$V$34</definedName>
    <definedName name="lb2cwt">'Unit Conversions'!$V$36</definedName>
    <definedName name="lb2g" localSheetId="4">'Unit Conversions'!$V$17</definedName>
    <definedName name="lb2kg" localSheetId="4">'Unit Conversions'!$V$18</definedName>
    <definedName name="lb2lb" localSheetId="4">'Unit Conversions'!$V$20</definedName>
    <definedName name="lb2T" localSheetId="4">'Unit Conversions'!$V$19</definedName>
    <definedName name="lb2UST" localSheetId="4">'Unit Conversions'!$V$21</definedName>
    <definedName name="m22ac">'Unit Conversions'!$AF$6</definedName>
    <definedName name="m22ha">'Unit Conversions'!$AF$4</definedName>
    <definedName name="m2cm" localSheetId="4">'Unit Conversions'!$Z$13</definedName>
    <definedName name="m2ft" localSheetId="4">'Unit Conversions'!$Z$11</definedName>
    <definedName name="m2km" localSheetId="4">'Unit Conversions'!$Z$10</definedName>
    <definedName name="m2m" localSheetId="4">'Unit Conversions'!$Z$9</definedName>
    <definedName name="m2mi" localSheetId="4">'Unit Conversions'!$Z$12</definedName>
    <definedName name="m2mm" localSheetId="4">'Unit Conversions'!$Z$8</definedName>
    <definedName name="m32acrefoot" localSheetId="4">'Unit Conversions'!$X$39</definedName>
    <definedName name="m32bbl" localSheetId="4">'Unit Conversions'!$X$7</definedName>
    <definedName name="m32ft3" localSheetId="4">'Unit Conversions'!$X$6</definedName>
    <definedName name="m32gal" localSheetId="4">'Unit Conversions'!$X$5</definedName>
    <definedName name="m32L" localSheetId="4">'Unit Conversions'!$X$4</definedName>
    <definedName name="m32m3" localSheetId="4">'Unit Conversions'!$X$2</definedName>
    <definedName name="m32ml" localSheetId="4">'Unit Conversions'!$X$3</definedName>
    <definedName name="mega" localSheetId="4">'Unit Conversions'!$O$9</definedName>
    <definedName name="mg2g">'Unit Conversions'!$V$30</definedName>
    <definedName name="mi2cm" localSheetId="4">'Unit Conversions'!$Z$31</definedName>
    <definedName name="mi2ft" localSheetId="4">'Unit Conversions'!$Z$29</definedName>
    <definedName name="mi2km" localSheetId="4">'Unit Conversions'!$Z$28</definedName>
    <definedName name="mi2m" localSheetId="4">'Unit Conversions'!$Z$27</definedName>
    <definedName name="mi2mi" localSheetId="4">'Unit Conversions'!$Z$30</definedName>
    <definedName name="mi2mm" localSheetId="4">'Unit Conversions'!$Z$26</definedName>
    <definedName name="micro" localSheetId="4">'Unit Conversions'!$O$17</definedName>
    <definedName name="milli" localSheetId="4">'Unit Conversions'!$O$16</definedName>
    <definedName name="MJ2BTU" localSheetId="4">'Unit Conversions'!$AB$23</definedName>
    <definedName name="MJ2Dth" localSheetId="4">'Unit Conversions'!$AB$88</definedName>
    <definedName name="MJ2hph" localSheetId="4">'Unit Conversions'!$AB$25</definedName>
    <definedName name="MJ2J" localSheetId="4">'Unit Conversions'!$AB$18</definedName>
    <definedName name="MJ2kCal" localSheetId="4">'Unit Conversions'!$AB$118</definedName>
    <definedName name="MJ2kJ" localSheetId="4">'Unit Conversions'!$AB$19</definedName>
    <definedName name="MJ2kWh" localSheetId="4">'Unit Conversions'!$AB$22</definedName>
    <definedName name="MJ2MJ" localSheetId="4">'Unit Conversions'!$AB$20</definedName>
    <definedName name="MJ2MMBTU" localSheetId="4">'Unit Conversions'!$AB$24</definedName>
    <definedName name="MJ2therm" localSheetId="4">'Unit Conversions'!$AB$98</definedName>
    <definedName name="MJ2Wh" localSheetId="4">'Unit Conversions'!$AB$21</definedName>
    <definedName name="ml2bbl" localSheetId="4">'Unit Conversions'!$X$13</definedName>
    <definedName name="ml2ft3" localSheetId="4">'Unit Conversions'!$X$12</definedName>
    <definedName name="ml2gal" localSheetId="4">'Unit Conversions'!$X$11</definedName>
    <definedName name="ml2L" localSheetId="4">'Unit Conversions'!$X$10</definedName>
    <definedName name="ml2m3" localSheetId="4">'Unit Conversions'!$X$8</definedName>
    <definedName name="ml2ml" localSheetId="4">'Unit Conversions'!$X$9</definedName>
    <definedName name="mm2cm" localSheetId="4">'Unit Conversions'!$Z$7</definedName>
    <definedName name="mm2ft" localSheetId="4">'Unit Conversions'!$Z$5</definedName>
    <definedName name="mm2km" localSheetId="4">'Unit Conversions'!$Z$4</definedName>
    <definedName name="mm2m" localSheetId="4">'Unit Conversions'!$Z$3</definedName>
    <definedName name="mm2m">[1]conversions!$Z$3</definedName>
    <definedName name="mm2mi" localSheetId="4">'Unit Conversions'!$Z$6</definedName>
    <definedName name="mm2mm" localSheetId="4">'Unit Conversions'!$Z$2</definedName>
    <definedName name="MMBTU2BTU" localSheetId="4">'Unit Conversions'!$AB$55</definedName>
    <definedName name="MMBTU2Dth" localSheetId="4">'Unit Conversions'!$AB$92</definedName>
    <definedName name="mmBtu2hph" localSheetId="4">'Unit Conversions'!$AB$57</definedName>
    <definedName name="MMBTU2J" localSheetId="4">'Unit Conversions'!$AB$50</definedName>
    <definedName name="MMBTU2kCal" localSheetId="4">'Unit Conversions'!$AB$122</definedName>
    <definedName name="MMBTU2kJ" localSheetId="4">'Unit Conversions'!$AB$51</definedName>
    <definedName name="MMBTU2kWh" localSheetId="4">'Unit Conversions'!$AB$54</definedName>
    <definedName name="MMBTU2MJ" localSheetId="4">'Unit Conversions'!$AB$52</definedName>
    <definedName name="MMBTU2MMBTU" localSheetId="4">'Unit Conversions'!$AB$56</definedName>
    <definedName name="MMBTU2therm" localSheetId="4">'Unit Conversions'!$AB$102</definedName>
    <definedName name="MMBTU2Wh" localSheetId="4">'Unit Conversions'!$AB$53</definedName>
    <definedName name="mmHg2atm" localSheetId="4">'Unit Conversions'!$AD$34</definedName>
    <definedName name="mmHg2bar" localSheetId="4">'Unit Conversions'!$AD$33</definedName>
    <definedName name="mmHg2kPa" localSheetId="4">'Unit Conversions'!$AD$32</definedName>
    <definedName name="mmHg2mmHg" localSheetId="4">'Unit Conversions'!$AD$37</definedName>
    <definedName name="mmHg2psi" localSheetId="4">'Unit Conversions'!$AD$36</definedName>
    <definedName name="mmHg2Torr" localSheetId="4">'Unit Conversions'!$AD$35</definedName>
    <definedName name="N2O_EF1" localSheetId="4">'Unit Conversions'!$O$54</definedName>
    <definedName name="N2O_EF4" localSheetId="4">'Unit Conversions'!$O$57</definedName>
    <definedName name="N2O_EF5" localSheetId="4">'Unit Conversions'!$O$59</definedName>
    <definedName name="N2O_FracGASF" localSheetId="4">'Unit Conversions'!$O$55</definedName>
    <definedName name="N2O_FracGASM">'Unit Conversions'!$O$56</definedName>
    <definedName name="N2O_FracLEACH" localSheetId="4">'Unit Conversions'!$O$58</definedName>
    <definedName name="nano" localSheetId="4">'Unit Conversions'!$O$18</definedName>
    <definedName name="Navogadro" localSheetId="4">'Unit Conversions'!$T$3</definedName>
    <definedName name="peta" localSheetId="4">'Unit Conversions'!$O$6</definedName>
    <definedName name="pi" localSheetId="4">'Unit Conversions'!$T$2</definedName>
    <definedName name="pico" localSheetId="4">'Unit Conversions'!$O$19</definedName>
    <definedName name="Pppm2LBperAcre" localSheetId="4">'Unit Conversions'!$T$15</definedName>
    <definedName name="psi2atm" localSheetId="4">'Unit Conversions'!$AD$28</definedName>
    <definedName name="psi2bar" localSheetId="4">'Unit Conversions'!$AD$27</definedName>
    <definedName name="psi2kPa" localSheetId="4">'Unit Conversions'!$AD$26</definedName>
    <definedName name="psi2mmHg" localSheetId="4">'Unit Conversions'!$AD$31</definedName>
    <definedName name="psi2psi" localSheetId="4">'Unit Conversions'!$AD$30</definedName>
    <definedName name="psi2Torr" localSheetId="4">'Unit Conversions'!$AD$29</definedName>
    <definedName name="SinSO2">'Unit Conversions'!$P$49</definedName>
    <definedName name="T2g" localSheetId="4">'Unit Conversions'!$V$12</definedName>
    <definedName name="T2kg" localSheetId="4">'Unit Conversions'!$V$13</definedName>
    <definedName name="T2lb" localSheetId="4">'Unit Conversions'!$V$15</definedName>
    <definedName name="T2T" localSheetId="4">'Unit Conversions'!$V$14</definedName>
    <definedName name="T2UST" localSheetId="4">'Unit Conversions'!$V$16</definedName>
    <definedName name="tera" localSheetId="4">'Unit Conversions'!$O$7</definedName>
    <definedName name="therm2BTU" localSheetId="4">'Unit Conversions'!$AB$81</definedName>
    <definedName name="therm2Dth" localSheetId="4">'Unit Conversions'!$AB$94</definedName>
    <definedName name="therm2hph" localSheetId="4">'Unit Conversions'!$AB$83</definedName>
    <definedName name="therm2J" localSheetId="4">'Unit Conversions'!$AB$76</definedName>
    <definedName name="therm2kCal" localSheetId="4">'Unit Conversions'!$AB$124</definedName>
    <definedName name="therm2kJ" localSheetId="4">'Unit Conversions'!$AB$77</definedName>
    <definedName name="therm2kWh" localSheetId="4">'Unit Conversions'!$AB$80</definedName>
    <definedName name="therm2MJ" localSheetId="4">'Unit Conversions'!$AB$78</definedName>
    <definedName name="therm2MMBTU" localSheetId="4">'Unit Conversions'!$AB$82</definedName>
    <definedName name="therm2therm" localSheetId="4">'Unit Conversions'!$AB$104</definedName>
    <definedName name="therm2Wh" localSheetId="4">'Unit Conversions'!$AB$79</definedName>
    <definedName name="Torr2atm" localSheetId="4">'Unit Conversions'!$AD$22</definedName>
    <definedName name="Torr2bar" localSheetId="4">'Unit Conversions'!$AD$21</definedName>
    <definedName name="Torr2kPa" localSheetId="4">'Unit Conversions'!$AD$20</definedName>
    <definedName name="Torr2mmHg" localSheetId="4">'Unit Conversions'!$AD$25</definedName>
    <definedName name="Torr2psi" localSheetId="4">'Unit Conversions'!$AD$24</definedName>
    <definedName name="Torr2Torr" localSheetId="4">'Unit Conversions'!$AD$23</definedName>
    <definedName name="UNIT">'45Q Calculations'!$C$45</definedName>
    <definedName name="UST2g" localSheetId="4">'Unit Conversions'!$V$22</definedName>
    <definedName name="UST2kg" localSheetId="4">'Unit Conversions'!$V$23</definedName>
    <definedName name="UST2lb" localSheetId="4">'Unit Conversions'!$V$25</definedName>
    <definedName name="UST2T" localSheetId="4">'Unit Conversions'!$V$24</definedName>
    <definedName name="UST2UST" localSheetId="4">'Unit Conversions'!$V$26</definedName>
    <definedName name="Wh2BTU" localSheetId="4">'Unit Conversions'!$AB$31</definedName>
    <definedName name="Wh2Dth" localSheetId="4">'Unit Conversions'!$AB$89</definedName>
    <definedName name="Wh2hph" localSheetId="4">'Unit Conversions'!$AB$33</definedName>
    <definedName name="Wh2J" localSheetId="4">'Unit Conversions'!$AB$26</definedName>
    <definedName name="Wh2kCal" localSheetId="4">'Unit Conversions'!$AB$119</definedName>
    <definedName name="Wh2kJ" localSheetId="4">'Unit Conversions'!$AB$27</definedName>
    <definedName name="Wh2kWh" localSheetId="4">'Unit Conversions'!$AB$30</definedName>
    <definedName name="Wh2MJ" localSheetId="4">'Unit Conversions'!$AB$28</definedName>
    <definedName name="Wh2MMBTU" localSheetId="4">'Unit Conversions'!$AB$32</definedName>
    <definedName name="Wh2therm" localSheetId="4">'Unit Conversions'!$AB$99</definedName>
    <definedName name="Wh2Wh" localSheetId="4">'Unit Conversions'!$AB$29</definedName>
    <definedName name="yocto" localSheetId="4">'Unit Conversions'!$O$23</definedName>
    <definedName name="yotta" localSheetId="4">'Unit Conversions'!$O$3</definedName>
    <definedName name="zepto" localSheetId="4">'Unit Conversions'!$O$22</definedName>
    <definedName name="zetta" localSheetId="4">'Unit Conversions'!$O$4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4" l="1"/>
  <c r="I36" i="16"/>
  <c r="I35" i="16"/>
  <c r="I29" i="16"/>
  <c r="I25" i="16"/>
  <c r="I26" i="16"/>
  <c r="I24" i="16"/>
  <c r="I21" i="16"/>
  <c r="P10" i="16"/>
  <c r="I77" i="15"/>
  <c r="B121" i="15" s="1"/>
  <c r="A126" i="15"/>
  <c r="A122" i="15"/>
  <c r="R6" i="14"/>
  <c r="A121" i="15"/>
  <c r="I78" i="15"/>
  <c r="B126" i="15" s="1"/>
  <c r="A117" i="15" l="1"/>
  <c r="A88" i="15"/>
  <c r="S26" i="15" l="1"/>
  <c r="E39" i="16"/>
  <c r="K39" i="16" s="1"/>
  <c r="A11" i="16" l="1"/>
  <c r="B115" i="15"/>
  <c r="I66" i="15" s="1"/>
  <c r="C29" i="14" l="1"/>
  <c r="S66" i="15"/>
  <c r="A112" i="15"/>
  <c r="A111" i="15"/>
  <c r="A87" i="15"/>
  <c r="A86" i="15"/>
  <c r="A85" i="15"/>
  <c r="A84" i="15"/>
  <c r="B110" i="15" l="1"/>
  <c r="S22" i="15" s="1"/>
  <c r="S12" i="15" l="1"/>
  <c r="AB106" i="17" l="1"/>
  <c r="AB105" i="17"/>
  <c r="AB95" i="17"/>
  <c r="AB92" i="17"/>
  <c r="AB75" i="17"/>
  <c r="AB74" i="17"/>
  <c r="P67" i="17"/>
  <c r="O67" i="17"/>
  <c r="P66" i="17"/>
  <c r="O66" i="17"/>
  <c r="AB65" i="17"/>
  <c r="AB56" i="17"/>
  <c r="D55" i="17"/>
  <c r="C55" i="17"/>
  <c r="C57" i="17" s="1"/>
  <c r="AB47" i="17"/>
  <c r="G43" i="17"/>
  <c r="Z39" i="17" s="1"/>
  <c r="AB42" i="17"/>
  <c r="AB41" i="17"/>
  <c r="AB39" i="17"/>
  <c r="AB38" i="17"/>
  <c r="Z38" i="17"/>
  <c r="X38" i="17"/>
  <c r="AD37" i="17"/>
  <c r="Z37" i="17"/>
  <c r="X37" i="17"/>
  <c r="AD36" i="17"/>
  <c r="Z36" i="17"/>
  <c r="X36" i="17"/>
  <c r="AD35" i="17"/>
  <c r="Z35" i="17"/>
  <c r="X35" i="17"/>
  <c r="V35" i="17"/>
  <c r="AD34" i="17"/>
  <c r="AB34" i="17"/>
  <c r="Z34" i="17"/>
  <c r="X34" i="17"/>
  <c r="AD33" i="17"/>
  <c r="Z33" i="17"/>
  <c r="X33" i="17"/>
  <c r="B33" i="17"/>
  <c r="AB116" i="17" s="1"/>
  <c r="AD32" i="17"/>
  <c r="Z32" i="17"/>
  <c r="X32" i="17"/>
  <c r="V32" i="17"/>
  <c r="J32" i="17"/>
  <c r="AB85" i="17" s="1"/>
  <c r="AD31" i="17"/>
  <c r="Z31" i="17"/>
  <c r="X31" i="17"/>
  <c r="V31" i="17"/>
  <c r="J31" i="17"/>
  <c r="AB84" i="17" s="1"/>
  <c r="H31" i="17"/>
  <c r="AB102" i="17" s="1"/>
  <c r="AD30" i="17"/>
  <c r="Z30" i="17"/>
  <c r="X30" i="17"/>
  <c r="V30" i="17"/>
  <c r="E30" i="17"/>
  <c r="AB33" i="17" s="1"/>
  <c r="D30" i="17"/>
  <c r="C30" i="17" s="1"/>
  <c r="AD29" i="17"/>
  <c r="AB29" i="17"/>
  <c r="Z29" i="17"/>
  <c r="K29" i="17"/>
  <c r="J29" i="17" s="1"/>
  <c r="AB82" i="17" s="1"/>
  <c r="E29" i="17"/>
  <c r="AB32" i="17" s="1"/>
  <c r="C29" i="17"/>
  <c r="AB16" i="17" s="1"/>
  <c r="B29" i="17"/>
  <c r="AB8" i="17" s="1"/>
  <c r="AD28" i="17"/>
  <c r="Z28" i="17"/>
  <c r="F28" i="17"/>
  <c r="G30" i="17" s="1"/>
  <c r="E28" i="17"/>
  <c r="AB31" i="17" s="1"/>
  <c r="D28" i="17"/>
  <c r="C28" i="17"/>
  <c r="B28" i="17"/>
  <c r="AB7" i="17" s="1"/>
  <c r="AD27" i="17"/>
  <c r="Z27" i="17"/>
  <c r="V27" i="17"/>
  <c r="L27" i="17"/>
  <c r="F33" i="17" s="1"/>
  <c r="AB120" i="17" s="1"/>
  <c r="I27" i="17"/>
  <c r="AB62" i="17" s="1"/>
  <c r="G27" i="17"/>
  <c r="AB46" i="17" s="1"/>
  <c r="E27" i="17"/>
  <c r="AB30" i="17" s="1"/>
  <c r="D27" i="17"/>
  <c r="C27" i="17"/>
  <c r="B27" i="17"/>
  <c r="AD26" i="17"/>
  <c r="AB26" i="17"/>
  <c r="Z26" i="17"/>
  <c r="X26" i="17"/>
  <c r="V26" i="17"/>
  <c r="I26" i="17"/>
  <c r="AB61" i="17" s="1"/>
  <c r="H26" i="17"/>
  <c r="AB53" i="17" s="1"/>
  <c r="G26" i="17"/>
  <c r="AB45" i="17" s="1"/>
  <c r="F26" i="17"/>
  <c r="AB37" i="17" s="1"/>
  <c r="D26" i="17"/>
  <c r="C26" i="17"/>
  <c r="B26" i="17"/>
  <c r="AB5" i="17" s="1"/>
  <c r="AD25" i="17"/>
  <c r="Z25" i="17"/>
  <c r="X25" i="17"/>
  <c r="G25" i="17"/>
  <c r="AB44" i="17" s="1"/>
  <c r="F25" i="17"/>
  <c r="AB36" i="17" s="1"/>
  <c r="E25" i="17"/>
  <c r="AB28" i="17" s="1"/>
  <c r="C25" i="17"/>
  <c r="B25" i="17"/>
  <c r="AD24" i="17"/>
  <c r="Z24" i="17"/>
  <c r="L24" i="17"/>
  <c r="AB107" i="17" s="1"/>
  <c r="G24" i="17"/>
  <c r="AB43" i="17" s="1"/>
  <c r="F24" i="17"/>
  <c r="AB35" i="17" s="1"/>
  <c r="E24" i="17"/>
  <c r="AB27" i="17" s="1"/>
  <c r="D24" i="17"/>
  <c r="AB19" i="17" s="1"/>
  <c r="B24" i="17"/>
  <c r="AB3" i="17" s="1"/>
  <c r="AD23" i="17"/>
  <c r="AB23" i="17"/>
  <c r="Z23" i="17"/>
  <c r="X23" i="17"/>
  <c r="K23" i="17"/>
  <c r="J23" i="17" s="1"/>
  <c r="AB76" i="17" s="1"/>
  <c r="H23" i="17"/>
  <c r="H27" i="17" s="1"/>
  <c r="AD22" i="17"/>
  <c r="AB22" i="17"/>
  <c r="Z22" i="17"/>
  <c r="AD21" i="17"/>
  <c r="AB21" i="17"/>
  <c r="Z21" i="17"/>
  <c r="AD20" i="17"/>
  <c r="AB20" i="17"/>
  <c r="Z20" i="17"/>
  <c r="X20" i="17"/>
  <c r="V20" i="17"/>
  <c r="B20" i="17"/>
  <c r="X39" i="17" s="1"/>
  <c r="AD19" i="17"/>
  <c r="Z19" i="17"/>
  <c r="X19" i="17"/>
  <c r="AD18" i="17"/>
  <c r="AB18" i="17"/>
  <c r="Z18" i="17"/>
  <c r="E18" i="17"/>
  <c r="X24" i="17" s="1"/>
  <c r="D18" i="17"/>
  <c r="X18" i="17" s="1"/>
  <c r="C18" i="17"/>
  <c r="B18" i="17"/>
  <c r="AH17" i="17"/>
  <c r="AD17" i="17"/>
  <c r="Z17" i="17"/>
  <c r="X17" i="17"/>
  <c r="V17" i="17"/>
  <c r="F17" i="17"/>
  <c r="X29" i="17" s="1"/>
  <c r="D17" i="17"/>
  <c r="C17" i="17"/>
  <c r="B17" i="17"/>
  <c r="AH16" i="17"/>
  <c r="AD16" i="17"/>
  <c r="Z16" i="17"/>
  <c r="X16" i="17"/>
  <c r="F16" i="17"/>
  <c r="X28" i="17" s="1"/>
  <c r="E16" i="17"/>
  <c r="X22" i="17" s="1"/>
  <c r="C16" i="17"/>
  <c r="X10" i="17" s="1"/>
  <c r="B16" i="17"/>
  <c r="X4" i="17" s="1"/>
  <c r="AH15" i="17"/>
  <c r="AD15" i="17"/>
  <c r="AB15" i="17"/>
  <c r="Z15" i="17"/>
  <c r="T15" i="17"/>
  <c r="S15" i="17"/>
  <c r="F15" i="17"/>
  <c r="X27" i="17" s="1"/>
  <c r="E15" i="17"/>
  <c r="X21" i="17" s="1"/>
  <c r="D15" i="17"/>
  <c r="X15" i="17" s="1"/>
  <c r="B15" i="17"/>
  <c r="X3" i="17" s="1"/>
  <c r="AH14" i="17"/>
  <c r="AD14" i="17"/>
  <c r="AB14" i="17"/>
  <c r="Z14" i="17"/>
  <c r="X14" i="17"/>
  <c r="V14" i="17"/>
  <c r="AH13" i="17"/>
  <c r="AD13" i="17"/>
  <c r="AB13" i="17"/>
  <c r="Z13" i="17"/>
  <c r="X13" i="17"/>
  <c r="AH12" i="17"/>
  <c r="AD12" i="17"/>
  <c r="AB12" i="17"/>
  <c r="Z12" i="17"/>
  <c r="X12" i="17"/>
  <c r="V12" i="17"/>
  <c r="AH11" i="17"/>
  <c r="AD11" i="17"/>
  <c r="AB11" i="17"/>
  <c r="Z11" i="17"/>
  <c r="X11" i="17"/>
  <c r="E11" i="17"/>
  <c r="V36" i="17" s="1"/>
  <c r="AH10" i="17"/>
  <c r="AD10" i="17"/>
  <c r="AB10" i="17"/>
  <c r="Z10" i="17"/>
  <c r="E10" i="17"/>
  <c r="V34" i="17" s="1"/>
  <c r="AH9" i="17"/>
  <c r="AD9" i="17"/>
  <c r="Z9" i="17"/>
  <c r="X9" i="17"/>
  <c r="E9" i="17"/>
  <c r="V33" i="17" s="1"/>
  <c r="AH8" i="17"/>
  <c r="AD8" i="17"/>
  <c r="Z8" i="17"/>
  <c r="X8" i="17"/>
  <c r="V8" i="17"/>
  <c r="E8" i="17"/>
  <c r="V28" i="17" s="1"/>
  <c r="AH7" i="17"/>
  <c r="AD7" i="17"/>
  <c r="Z7" i="17"/>
  <c r="X7" i="17"/>
  <c r="V7" i="17"/>
  <c r="E7" i="17"/>
  <c r="V21" i="17" s="1"/>
  <c r="AH6" i="17"/>
  <c r="AD6" i="17"/>
  <c r="AB6" i="17"/>
  <c r="Z6" i="17"/>
  <c r="X6" i="17"/>
  <c r="D6" i="17"/>
  <c r="V15" i="17" s="1"/>
  <c r="C6" i="17"/>
  <c r="B6" i="17"/>
  <c r="AH5" i="17"/>
  <c r="AF5" i="17"/>
  <c r="AD5" i="17"/>
  <c r="Z5" i="17"/>
  <c r="X5" i="17"/>
  <c r="V5" i="17"/>
  <c r="F5" i="17"/>
  <c r="V24" i="17" s="1"/>
  <c r="E5" i="17"/>
  <c r="V19" i="17" s="1"/>
  <c r="C5" i="17"/>
  <c r="V9" i="17" s="1"/>
  <c r="B5" i="17"/>
  <c r="V4" i="17" s="1"/>
  <c r="AH4" i="17"/>
  <c r="AF4" i="17"/>
  <c r="AD4" i="17"/>
  <c r="AB4" i="17"/>
  <c r="Z4" i="17"/>
  <c r="F4" i="17"/>
  <c r="V23" i="17" s="1"/>
  <c r="E4" i="17"/>
  <c r="V18" i="17" s="1"/>
  <c r="D4" i="17"/>
  <c r="V13" i="17" s="1"/>
  <c r="B4" i="17"/>
  <c r="V3" i="17" s="1"/>
  <c r="AH3" i="17"/>
  <c r="AD3" i="17"/>
  <c r="Z3" i="17"/>
  <c r="F3" i="17"/>
  <c r="V22" i="17" s="1"/>
  <c r="AH2" i="17"/>
  <c r="AF2" i="17"/>
  <c r="AD2" i="17"/>
  <c r="AB2" i="17"/>
  <c r="Z2" i="17"/>
  <c r="X2" i="17"/>
  <c r="V2" i="17"/>
  <c r="T2" i="17"/>
  <c r="H25" i="17" l="1"/>
  <c r="AB52" i="17" s="1"/>
  <c r="AB94" i="17"/>
  <c r="C32" i="17"/>
  <c r="V10" i="17"/>
  <c r="S10" i="15"/>
  <c r="S6" i="15"/>
  <c r="D32" i="17"/>
  <c r="D31" i="17" s="1"/>
  <c r="AB98" i="17" s="1"/>
  <c r="F32" i="17"/>
  <c r="AB90" i="17" s="1"/>
  <c r="AB110" i="17"/>
  <c r="C31" i="17"/>
  <c r="AB97" i="17" s="1"/>
  <c r="AB87" i="17"/>
  <c r="AB54" i="17"/>
  <c r="K27" i="17"/>
  <c r="I28" i="17"/>
  <c r="AB63" i="17" s="1"/>
  <c r="H30" i="17"/>
  <c r="AB49" i="17"/>
  <c r="B30" i="17"/>
  <c r="AB17" i="17"/>
  <c r="I24" i="17"/>
  <c r="AB59" i="17" s="1"/>
  <c r="AF7" i="17"/>
  <c r="D56" i="17"/>
  <c r="AF6" i="17" s="1"/>
  <c r="AB25" i="17"/>
  <c r="L29" i="17"/>
  <c r="AF3" i="17"/>
  <c r="H24" i="17"/>
  <c r="I25" i="17"/>
  <c r="AB60" i="17" s="1"/>
  <c r="L28" i="17"/>
  <c r="D29" i="17"/>
  <c r="AB24" i="17" s="1"/>
  <c r="C33" i="17"/>
  <c r="AB117" i="17" s="1"/>
  <c r="AB66" i="17"/>
  <c r="AB72" i="17"/>
  <c r="AB104" i="17"/>
  <c r="K25" i="17"/>
  <c r="L26" i="17"/>
  <c r="F29" i="17"/>
  <c r="AB40" i="17" s="1"/>
  <c r="AB50" i="17"/>
  <c r="G32" i="17"/>
  <c r="K26" i="17"/>
  <c r="B32" i="17"/>
  <c r="F6" i="17"/>
  <c r="V25" i="17" s="1"/>
  <c r="B7" i="17"/>
  <c r="V6" i="17" s="1"/>
  <c r="L25" i="17"/>
  <c r="G29" i="17"/>
  <c r="AB48" i="17" s="1"/>
  <c r="C7" i="17"/>
  <c r="V11" i="17" s="1"/>
  <c r="H28" i="17"/>
  <c r="E32" i="17"/>
  <c r="D7" i="17"/>
  <c r="V16" i="17" s="1"/>
  <c r="F31" i="17" l="1"/>
  <c r="AB100" i="17" s="1"/>
  <c r="AB88" i="17"/>
  <c r="AB55" i="17"/>
  <c r="K28" i="17"/>
  <c r="AB91" i="17"/>
  <c r="G31" i="17"/>
  <c r="AB101" i="17" s="1"/>
  <c r="AB57" i="17"/>
  <c r="I29" i="17"/>
  <c r="AB64" i="17" s="1"/>
  <c r="K30" i="17"/>
  <c r="AB109" i="17"/>
  <c r="E33" i="17"/>
  <c r="AB119" i="17" s="1"/>
  <c r="AB68" i="17"/>
  <c r="J25" i="17"/>
  <c r="AB78" i="17" s="1"/>
  <c r="L30" i="17"/>
  <c r="I23" i="17"/>
  <c r="AB58" i="17" s="1"/>
  <c r="AB9" i="17"/>
  <c r="J27" i="17"/>
  <c r="AB80" i="17" s="1"/>
  <c r="AB70" i="17"/>
  <c r="L32" i="17"/>
  <c r="AB86" i="17"/>
  <c r="B31" i="17"/>
  <c r="H33" i="17"/>
  <c r="AB122" i="17" s="1"/>
  <c r="AB112" i="17"/>
  <c r="G33" i="17"/>
  <c r="AB121" i="17" s="1"/>
  <c r="AB111" i="17"/>
  <c r="AB108" i="17"/>
  <c r="D33" i="17"/>
  <c r="AB118" i="17" s="1"/>
  <c r="AB51" i="17"/>
  <c r="K24" i="17"/>
  <c r="E31" i="17"/>
  <c r="AB99" i="17" s="1"/>
  <c r="AB89" i="17"/>
  <c r="AB69" i="17"/>
  <c r="J26" i="17"/>
  <c r="AB79" i="17" s="1"/>
  <c r="AB73" i="17" l="1"/>
  <c r="J30" i="17"/>
  <c r="AB83" i="17" s="1"/>
  <c r="I32" i="17"/>
  <c r="AB113" i="17"/>
  <c r="I33" i="17"/>
  <c r="AB123" i="17" s="1"/>
  <c r="J28" i="17"/>
  <c r="AB81" i="17" s="1"/>
  <c r="AB71" i="17"/>
  <c r="AB67" i="17"/>
  <c r="J24" i="17"/>
  <c r="AB77" i="17" s="1"/>
  <c r="L31" i="17"/>
  <c r="AB96" i="17"/>
  <c r="AB115" i="17"/>
  <c r="K33" i="17"/>
  <c r="AB125" i="17" s="1"/>
  <c r="AB93" i="17" l="1"/>
  <c r="I31" i="17"/>
  <c r="AB103" i="17" s="1"/>
  <c r="AB114" i="17"/>
  <c r="J33" i="17"/>
  <c r="AB124" i="17" s="1"/>
  <c r="D4" i="16" l="1"/>
  <c r="Q8" i="16" s="1"/>
  <c r="G36" i="14"/>
  <c r="G37" i="14"/>
  <c r="G38" i="14"/>
  <c r="G39" i="14"/>
  <c r="G35" i="14"/>
  <c r="C36" i="14"/>
  <c r="C37" i="14"/>
  <c r="C38" i="14"/>
  <c r="C39" i="14"/>
  <c r="C35" i="14"/>
  <c r="C30" i="14"/>
  <c r="C31" i="14"/>
  <c r="C32" i="14"/>
  <c r="G20" i="14"/>
  <c r="G21" i="14"/>
  <c r="G19" i="14"/>
  <c r="C25" i="14"/>
  <c r="C26" i="14"/>
  <c r="C24" i="14"/>
  <c r="C20" i="14"/>
  <c r="C21" i="14"/>
  <c r="C13" i="14"/>
  <c r="C14" i="14"/>
  <c r="C15" i="14"/>
  <c r="C16" i="14"/>
  <c r="C11" i="14"/>
  <c r="C12" i="14"/>
  <c r="Q9" i="16" l="1"/>
  <c r="B4" i="16"/>
  <c r="L6" i="14"/>
  <c r="N6" i="14"/>
  <c r="P6" i="14"/>
  <c r="J7" i="14"/>
  <c r="J8" i="14"/>
  <c r="J9" i="14"/>
  <c r="J10" i="14"/>
  <c r="J11" i="14"/>
  <c r="J12" i="14"/>
  <c r="L5" i="14"/>
  <c r="J5" i="14"/>
  <c r="I5" i="16" l="1"/>
  <c r="E4" i="16"/>
  <c r="C35" i="16"/>
  <c r="C29" i="16"/>
  <c r="C24" i="16"/>
  <c r="C19" i="16"/>
  <c r="C11" i="16"/>
  <c r="G39" i="16"/>
  <c r="G37" i="16"/>
  <c r="G36" i="16"/>
  <c r="G35" i="16"/>
  <c r="B3" i="16"/>
  <c r="C3" i="16"/>
  <c r="C4" i="16"/>
  <c r="B5" i="16"/>
  <c r="C5" i="16"/>
  <c r="B6" i="16"/>
  <c r="C6" i="16"/>
  <c r="B7" i="16"/>
  <c r="C7" i="16"/>
  <c r="B8" i="16"/>
  <c r="C8" i="16"/>
  <c r="B11" i="16"/>
  <c r="I11" i="16" s="1"/>
  <c r="B12" i="16"/>
  <c r="B13" i="16"/>
  <c r="B14" i="16"/>
  <c r="B15" i="16"/>
  <c r="B16" i="16"/>
  <c r="E18" i="16"/>
  <c r="B19" i="16"/>
  <c r="E19" i="16"/>
  <c r="F19" i="16"/>
  <c r="B20" i="16"/>
  <c r="E20" i="16"/>
  <c r="K20" i="16" s="1"/>
  <c r="F20" i="16"/>
  <c r="B21" i="16"/>
  <c r="E21" i="16"/>
  <c r="K21" i="16" s="1"/>
  <c r="F21" i="16"/>
  <c r="B24" i="16"/>
  <c r="B25" i="16"/>
  <c r="B26" i="16"/>
  <c r="B29" i="16"/>
  <c r="B30" i="16"/>
  <c r="B31" i="16"/>
  <c r="B32" i="16"/>
  <c r="E34" i="16"/>
  <c r="B35" i="16"/>
  <c r="E35" i="16"/>
  <c r="F35" i="16"/>
  <c r="B36" i="16"/>
  <c r="E36" i="16"/>
  <c r="F36" i="16"/>
  <c r="B37" i="16"/>
  <c r="C37" i="16"/>
  <c r="E37" i="16"/>
  <c r="F37" i="16"/>
  <c r="B38" i="16"/>
  <c r="E38" i="16"/>
  <c r="F38" i="16"/>
  <c r="G38" i="16"/>
  <c r="B39" i="16"/>
  <c r="F39" i="16"/>
  <c r="A3" i="16"/>
  <c r="A4" i="16"/>
  <c r="A5" i="16"/>
  <c r="A6" i="16"/>
  <c r="A7" i="16"/>
  <c r="A8" i="16"/>
  <c r="A10" i="16"/>
  <c r="A12" i="16"/>
  <c r="A13" i="16"/>
  <c r="I13" i="16" s="1"/>
  <c r="A14" i="16"/>
  <c r="I14" i="16" s="1"/>
  <c r="A15" i="16"/>
  <c r="I15" i="16" s="1"/>
  <c r="A16" i="16"/>
  <c r="I16" i="16" s="1"/>
  <c r="A18" i="16"/>
  <c r="A19" i="16"/>
  <c r="I19" i="16" s="1"/>
  <c r="A20" i="16"/>
  <c r="I20" i="16" s="1"/>
  <c r="A21" i="16"/>
  <c r="A23" i="16"/>
  <c r="A24" i="16"/>
  <c r="A25" i="16"/>
  <c r="A26" i="16"/>
  <c r="A28" i="16"/>
  <c r="A29" i="16"/>
  <c r="A30" i="16"/>
  <c r="I30" i="16" s="1"/>
  <c r="A31" i="16"/>
  <c r="I31" i="16" s="1"/>
  <c r="A32" i="16"/>
  <c r="I32" i="16" s="1"/>
  <c r="A34" i="16"/>
  <c r="A35" i="16"/>
  <c r="A36" i="16"/>
  <c r="A37" i="16"/>
  <c r="I37" i="16" s="1"/>
  <c r="A38" i="16"/>
  <c r="I38" i="16" s="1"/>
  <c r="A39" i="16"/>
  <c r="I39" i="16" s="1"/>
  <c r="A1" i="16"/>
  <c r="C36" i="16"/>
  <c r="C38" i="16"/>
  <c r="C39" i="16"/>
  <c r="C30" i="16"/>
  <c r="C31" i="16"/>
  <c r="C32" i="16"/>
  <c r="C25" i="16"/>
  <c r="C26" i="16"/>
  <c r="C12" i="16"/>
  <c r="C13" i="16"/>
  <c r="C14" i="16"/>
  <c r="C15" i="16"/>
  <c r="C16" i="16"/>
  <c r="G21" i="16"/>
  <c r="G20" i="16"/>
  <c r="G19" i="16"/>
  <c r="C20" i="16"/>
  <c r="C21" i="16"/>
  <c r="I3" i="16" l="1"/>
  <c r="I4" i="16" s="1"/>
  <c r="I12" i="16"/>
  <c r="K35" i="16"/>
  <c r="K19" i="16"/>
  <c r="K41" i="16" s="1"/>
  <c r="K38" i="16"/>
  <c r="I17" i="16" l="1"/>
  <c r="Q3" i="16" s="1"/>
  <c r="I41" i="16"/>
  <c r="Q4" i="16" s="1"/>
  <c r="K36" i="16"/>
  <c r="K37" i="16"/>
  <c r="M41" i="16" l="1"/>
  <c r="Q5" i="16" l="1"/>
  <c r="Q10" i="16" l="1"/>
  <c r="R10" i="16" s="1"/>
  <c r="S10" i="16" s="1"/>
  <c r="L3" i="14" s="1"/>
  <c r="Y5" i="16" l="1"/>
  <c r="R9" i="14" s="1"/>
  <c r="X7" i="16"/>
  <c r="P11" i="14" s="1"/>
  <c r="V4" i="16"/>
  <c r="L8" i="14" s="1"/>
  <c r="V3" i="16"/>
  <c r="L7" i="14" s="1"/>
  <c r="V5" i="16"/>
  <c r="L9" i="14" s="1"/>
  <c r="Y6" i="16"/>
  <c r="R10" i="14" s="1"/>
  <c r="X3" i="16"/>
  <c r="P7" i="14" s="1"/>
  <c r="Y4" i="16"/>
  <c r="R8" i="14" s="1"/>
  <c r="Y3" i="16"/>
  <c r="R7" i="14" s="1"/>
  <c r="Y7" i="16"/>
  <c r="R11" i="14" s="1"/>
  <c r="X6" i="16"/>
  <c r="P10" i="14" s="1"/>
  <c r="X4" i="16"/>
  <c r="P8" i="14" s="1"/>
  <c r="W4" i="16"/>
  <c r="N8" i="14" s="1"/>
  <c r="X5" i="16"/>
  <c r="P9" i="14" s="1"/>
  <c r="Y8" i="16"/>
  <c r="R12" i="14" s="1"/>
  <c r="W5" i="16"/>
  <c r="N9" i="14" s="1"/>
  <c r="W3" i="16"/>
  <c r="N7" i="14" s="1"/>
  <c r="X8" i="16"/>
  <c r="P12"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author>
  </authors>
  <commentList>
    <comment ref="A3" authorId="0" shapeId="0" xr:uid="{46738FF5-769B-4098-85A2-8316C70837D2}">
      <text>
        <r>
          <rPr>
            <b/>
            <sz val="9"/>
            <color indexed="81"/>
            <rFont val="Tahoma"/>
            <family val="2"/>
          </rPr>
          <t>Enter the CO2, the primary output of the process and any other products produced</t>
        </r>
      </text>
    </comment>
    <comment ref="B3" authorId="0" shapeId="0" xr:uid="{1A775BB4-5333-4C6F-86D5-B9167D814A1D}">
      <text>
        <r>
          <rPr>
            <b/>
            <sz val="9"/>
            <color indexed="81"/>
            <rFont val="Tahoma"/>
            <family val="2"/>
          </rPr>
          <t>Enter the quantity of each product produced.</t>
        </r>
      </text>
    </comment>
    <comment ref="D4" authorId="0" shapeId="0" xr:uid="{F3F0AFE0-702A-40CA-9418-3CFD5DB71F82}">
      <text>
        <r>
          <rPr>
            <b/>
            <sz val="9"/>
            <color indexed="81"/>
            <rFont val="Tahoma"/>
            <family val="2"/>
          </rPr>
          <t>Enter the biogenic content of the CO2 in percent.</t>
        </r>
      </text>
    </comment>
    <comment ref="A10" authorId="0" shapeId="0" xr:uid="{67052B5E-78C1-4FD7-8047-DBC2771AC6A0}">
      <text>
        <r>
          <rPr>
            <b/>
            <sz val="9"/>
            <color indexed="81"/>
            <rFont val="Tahoma"/>
            <family val="2"/>
          </rPr>
          <t>Select the inputs which produce CO2 and other coproducts. For landfill gas and CO2 from air, leave blank.</t>
        </r>
      </text>
    </comment>
    <comment ref="B10" authorId="0" shapeId="0" xr:uid="{DD0C364A-F0C4-4A15-9349-B474F43BA39D}">
      <text>
        <r>
          <rPr>
            <b/>
            <sz val="9"/>
            <color indexed="81"/>
            <rFont val="Tahoma"/>
            <family val="2"/>
          </rPr>
          <t>Enter the quantity of input required to produce the amount of CO2 entered above</t>
        </r>
        <r>
          <rPr>
            <sz val="9"/>
            <color indexed="81"/>
            <rFont val="Tahoma"/>
            <family val="2"/>
          </rPr>
          <t xml:space="preserve">
</t>
        </r>
      </text>
    </comment>
    <comment ref="A18" authorId="0" shapeId="0" xr:uid="{2512AD5F-9EBC-4925-9BB8-827F38CE90D4}">
      <text>
        <r>
          <rPr>
            <b/>
            <sz val="9"/>
            <color indexed="81"/>
            <rFont val="Tahoma"/>
            <family val="2"/>
          </rPr>
          <t>Select the grid mix or power source that most closely reflects the power used in CO2 production</t>
        </r>
      </text>
    </comment>
    <comment ref="B18" authorId="0" shapeId="0" xr:uid="{24757DB1-32D2-4701-BA7B-D3B359E4E16B}">
      <text>
        <r>
          <rPr>
            <b/>
            <sz val="9"/>
            <color indexed="81"/>
            <rFont val="Tahoma"/>
            <family val="2"/>
          </rPr>
          <t>Enter the quantity of electricity used to produce the CO2 and products above. Do not include electricity used to purify and compress the CO2.</t>
        </r>
      </text>
    </comment>
    <comment ref="E18" authorId="0" shapeId="0" xr:uid="{4600E081-8171-4E14-82A5-EB9B93FCAE8A}">
      <text>
        <r>
          <rPr>
            <b/>
            <sz val="9"/>
            <color indexed="81"/>
            <rFont val="Tahoma"/>
            <family val="2"/>
          </rPr>
          <t>Select the electricity grid or power source that most closely represents the power used to purify and compress the CO2</t>
        </r>
      </text>
    </comment>
    <comment ref="F18" authorId="0" shapeId="0" xr:uid="{4DD63F44-9951-4970-8CC0-5EE5B93614ED}">
      <text>
        <r>
          <rPr>
            <b/>
            <sz val="9"/>
            <color indexed="81"/>
            <rFont val="Tahoma"/>
            <charset val="1"/>
          </rPr>
          <t>Enter the quantitiy of electricity used to purify and compress the CO2</t>
        </r>
        <r>
          <rPr>
            <sz val="9"/>
            <color indexed="81"/>
            <rFont val="Tahoma"/>
            <charset val="1"/>
          </rPr>
          <t xml:space="preserve">
</t>
        </r>
      </text>
    </comment>
    <comment ref="A23" authorId="0" shapeId="0" xr:uid="{B64AB94E-DFA1-479F-B85E-EDCDC1A73DA6}">
      <text>
        <r>
          <rPr>
            <b/>
            <sz val="9"/>
            <color indexed="81"/>
            <rFont val="Tahoma"/>
            <family val="2"/>
          </rPr>
          <t>Select any other energy used to power the CO2 production process. If the energy source is not in the list (e.g. biogas combustion) it will needed to be added to the tool.</t>
        </r>
      </text>
    </comment>
    <comment ref="B23" authorId="0" shapeId="0" xr:uid="{5EBDFD2A-0537-4E7F-A244-C5E3564087DE}">
      <text>
        <r>
          <rPr>
            <b/>
            <sz val="9"/>
            <color indexed="81"/>
            <rFont val="Tahoma"/>
            <family val="2"/>
          </rPr>
          <t>Enter the quantity of energy used to produce the CO2</t>
        </r>
      </text>
    </comment>
    <comment ref="A28" authorId="0" shapeId="0" xr:uid="{31D31BB1-5D97-4ABE-8F60-1E9B51431B84}">
      <text>
        <r>
          <rPr>
            <b/>
            <sz val="9"/>
            <color indexed="81"/>
            <rFont val="Tahoma"/>
            <family val="2"/>
          </rPr>
          <t xml:space="preserve">Select the mode of transport for the feedstocks
</t>
        </r>
        <r>
          <rPr>
            <sz val="9"/>
            <color indexed="81"/>
            <rFont val="Tahoma"/>
            <family val="2"/>
          </rPr>
          <t xml:space="preserve">
</t>
        </r>
      </text>
    </comment>
    <comment ref="B28" authorId="0" shapeId="0" xr:uid="{F605CC03-F7FD-4172-A7CB-7F897076E6CF}">
      <text>
        <r>
          <rPr>
            <b/>
            <sz val="9"/>
            <color indexed="81"/>
            <rFont val="Tahoma"/>
            <family val="2"/>
          </rPr>
          <t>Enter the distance the feedstock travels. Note, this will apply to all feedstocks</t>
        </r>
      </text>
    </comment>
    <comment ref="A34" authorId="0" shapeId="0" xr:uid="{D35283F8-FD2B-40BD-B68F-1DD79F66154D}">
      <text>
        <r>
          <rPr>
            <b/>
            <sz val="9"/>
            <color indexed="81"/>
            <rFont val="Tahoma"/>
            <family val="2"/>
          </rPr>
          <t>Select any wastes or emissions that come from the initial production process. Be sure to include leaked methane and CO2. Do not include emissions from energy inputs.</t>
        </r>
      </text>
    </comment>
    <comment ref="B34" authorId="0" shapeId="0" xr:uid="{0605FF7B-6EF1-44CC-83C3-E213FCD6C0E4}">
      <text>
        <r>
          <rPr>
            <b/>
            <sz val="9"/>
            <color indexed="81"/>
            <rFont val="Tahoma"/>
            <family val="2"/>
          </rPr>
          <t>Enter the quantity of waste to produce the CO2 and other products</t>
        </r>
        <r>
          <rPr>
            <sz val="9"/>
            <color indexed="81"/>
            <rFont val="Tahoma"/>
            <family val="2"/>
          </rPr>
          <t xml:space="preserve">
</t>
        </r>
      </text>
    </comment>
    <comment ref="E34" authorId="0" shapeId="0" xr:uid="{710FF05A-005D-48F6-8E61-A37B416070AB}">
      <text>
        <r>
          <rPr>
            <b/>
            <sz val="9"/>
            <color indexed="81"/>
            <rFont val="Tahoma"/>
            <charset val="1"/>
          </rPr>
          <t>Lise:</t>
        </r>
        <r>
          <rPr>
            <sz val="9"/>
            <color indexed="81"/>
            <rFont val="Tahoma"/>
            <charset val="1"/>
          </rPr>
          <t xml:space="preserve">
Select the waste or emission associated with CO2 purification and compression (wastes not associated with the coproducts). Be sure to include leaked CO2 and NH4.</t>
        </r>
      </text>
    </comment>
    <comment ref="F34" authorId="0" shapeId="0" xr:uid="{AD1FB7BD-4BE0-4192-9391-B656D5756496}">
      <text>
        <r>
          <rPr>
            <sz val="9"/>
            <color indexed="81"/>
            <rFont val="Tahoma"/>
            <charset val="1"/>
          </rPr>
          <t>Enter the quantity of waste and emission resulting from the purification and compression of CO2.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author>
  </authors>
  <commentList>
    <comment ref="S6" authorId="0" shapeId="0" xr:uid="{CD823F18-E76E-417B-9076-823AFDB22FAA}">
      <text>
        <r>
          <rPr>
            <b/>
            <sz val="9"/>
            <color indexed="81"/>
            <rFont val="Tahoma"/>
            <family val="2"/>
          </rPr>
          <t>Lise:</t>
        </r>
        <r>
          <rPr>
            <sz val="9"/>
            <color indexed="81"/>
            <rFont val="Tahoma"/>
            <family val="2"/>
          </rPr>
          <t xml:space="preserve">
Negative indictates conventional treatment sequesters organic CO2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Caroline Taylor</author>
  </authors>
  <commentList>
    <comment ref="A77" authorId="0" shapeId="0" xr:uid="{D168A4A8-E45B-43ED-9282-424D0DE24B23}">
      <text>
        <r>
          <rPr>
            <b/>
            <sz val="10"/>
            <color rgb="FF000000"/>
            <rFont val="Calibri"/>
            <family val="2"/>
          </rPr>
          <t>Caroline Taylor:</t>
        </r>
        <r>
          <rPr>
            <sz val="10"/>
            <color rgb="FF000000"/>
            <rFont val="Calibri"/>
            <family val="2"/>
          </rPr>
          <t xml:space="preserve">
</t>
        </r>
        <r>
          <rPr>
            <sz val="10"/>
            <color rgb="FF000000"/>
            <rFont val="Calibri"/>
            <family val="2"/>
          </rPr>
          <t xml:space="preserve">Maize germ &lt;30% oil: 9.8% moisture,  15% crude protein, 23-24% fat (m/m dm); https://www.feedipedia.org/node/20335
</t>
        </r>
        <r>
          <rPr>
            <sz val="10"/>
            <color rgb="FF000000"/>
            <rFont val="Calibri"/>
            <family val="2"/>
          </rPr>
          <t>Maize germ &gt;30% oil: 4.9% moisture, 12.8% crude protein, 46.6-48.4% oil (m/m dm); https://www.feedipedia.org/node/20336</t>
        </r>
      </text>
    </comment>
    <comment ref="A78" authorId="0" shapeId="0" xr:uid="{B1C509D7-2BC6-4A71-9AD6-45332AF4B6C2}">
      <text>
        <r>
          <rPr>
            <b/>
            <sz val="10"/>
            <color rgb="FF000000"/>
            <rFont val="Calibri"/>
            <family val="2"/>
          </rPr>
          <t>Caroline Taylor:</t>
        </r>
        <r>
          <rPr>
            <sz val="10"/>
            <color rgb="FF000000"/>
            <rFont val="Calibri"/>
            <family val="2"/>
          </rPr>
          <t xml:space="preserve">
</t>
        </r>
        <r>
          <rPr>
            <sz val="10"/>
            <color rgb="FF000000"/>
            <rFont val="Calibri"/>
            <family val="2"/>
          </rPr>
          <t xml:space="preserve">10% moisture; 65% crude protein
</t>
        </r>
        <r>
          <rPr>
            <sz val="10"/>
            <color rgb="FF000000"/>
            <rFont val="Calibri"/>
            <family val="2"/>
          </rPr>
          <t>https://www.feedipedia.org/node/715</t>
        </r>
      </text>
    </comment>
    <comment ref="A79" authorId="0" shapeId="0" xr:uid="{ECE35EE8-D8E0-4DBE-9DD0-7B1D16F8DF98}">
      <text>
        <r>
          <rPr>
            <b/>
            <sz val="10"/>
            <color rgb="FF000000"/>
            <rFont val="Calibri"/>
            <family val="2"/>
          </rPr>
          <t>Caroline Taylor:</t>
        </r>
        <r>
          <rPr>
            <sz val="10"/>
            <color rgb="FF000000"/>
            <rFont val="Calibri"/>
            <family val="2"/>
          </rPr>
          <t xml:space="preserve">
</t>
        </r>
        <r>
          <rPr>
            <sz val="10"/>
            <color rgb="FF000000"/>
            <rFont val="Calibri"/>
            <family val="2"/>
          </rPr>
          <t xml:space="preserve">12% moisture; 22% protein
</t>
        </r>
        <r>
          <rPr>
            <sz val="10"/>
            <color rgb="FF000000"/>
            <rFont val="Calibri"/>
            <family val="2"/>
          </rPr>
          <t>https://www.feedipedia.org/node/714</t>
        </r>
      </text>
    </comment>
    <comment ref="A80" authorId="0" shapeId="0" xr:uid="{A81FB2FE-3258-4BB2-B054-90006C363D8E}">
      <text>
        <r>
          <rPr>
            <b/>
            <sz val="10"/>
            <color rgb="FF000000"/>
            <rFont val="Calibri"/>
            <family val="2"/>
          </rPr>
          <t>Caroline Taylor:</t>
        </r>
        <r>
          <rPr>
            <sz val="10"/>
            <color rgb="FF000000"/>
            <rFont val="Calibri"/>
            <family val="2"/>
          </rPr>
          <t xml:space="preserve">
</t>
        </r>
        <r>
          <rPr>
            <sz val="10"/>
            <color rgb="FF000000"/>
            <rFont val="Calibri"/>
            <family val="2"/>
          </rPr>
          <t xml:space="preserve">wet cgf: 53.5% moisture, 18.7% crude protein dm basis. 
</t>
        </r>
        <r>
          <rPr>
            <sz val="10"/>
            <color rgb="FF000000"/>
            <rFont val="Calibri"/>
            <family val="2"/>
          </rPr>
          <t>https://www.feedipedia.org/node/714</t>
        </r>
      </text>
    </comment>
    <comment ref="A81" authorId="0" shapeId="0" xr:uid="{E77EA3AC-DC41-46FF-9016-3E4FE15E04EC}">
      <text>
        <r>
          <rPr>
            <b/>
            <sz val="10"/>
            <color rgb="FF000000"/>
            <rFont val="Calibri"/>
            <family val="2"/>
          </rPr>
          <t>Caroline Taylor:</t>
        </r>
        <r>
          <rPr>
            <sz val="10"/>
            <color rgb="FF000000"/>
            <rFont val="Calibri"/>
            <family val="2"/>
          </rPr>
          <t xml:space="preserve">
</t>
        </r>
        <r>
          <rPr>
            <sz val="10"/>
            <color rgb="FF000000"/>
            <rFont val="Calibri"/>
            <family val="2"/>
          </rPr>
          <t xml:space="preserve">treat as extracted from germ (above) --&gt; rolled into germ yield
</t>
        </r>
        <r>
          <rPr>
            <sz val="10"/>
            <color rgb="FF000000"/>
            <rFont val="Calibri"/>
            <family val="2"/>
          </rPr>
          <t>Maize germ &gt;30% oil: 4.9% moisture, 12.8% crude protein, 46.6-48.4% oil (m/m dm); https://www.feedipedia.org/node/20336</t>
        </r>
      </text>
    </comment>
    <comment ref="A82" authorId="0" shapeId="0" xr:uid="{593637B9-B08D-4A94-B73F-B07C84794568}">
      <text>
        <r>
          <rPr>
            <b/>
            <sz val="10"/>
            <color rgb="FF000000"/>
            <rFont val="Calibri"/>
            <family val="2"/>
          </rPr>
          <t xml:space="preserve">Caroline Taylor:
</t>
        </r>
        <r>
          <rPr>
            <b/>
            <sz val="10"/>
            <color rgb="FF000000"/>
            <rFont val="Calibri"/>
            <family val="2"/>
          </rPr>
          <t>AKA Dry CGF</t>
        </r>
        <r>
          <rPr>
            <sz val="10"/>
            <color rgb="FF000000"/>
            <rFont val="Calibri"/>
            <family val="2"/>
          </rPr>
          <t xml:space="preserve">
</t>
        </r>
        <r>
          <rPr>
            <sz val="10"/>
            <color rgb="FF000000"/>
            <rFont val="Calibri"/>
            <family val="2"/>
          </rPr>
          <t xml:space="preserve">12% moisture; 22% protein
</t>
        </r>
        <r>
          <rPr>
            <sz val="10"/>
            <color rgb="FF000000"/>
            <rFont val="Calibri"/>
            <family val="2"/>
          </rPr>
          <t>https://www.feedipedia.org/node/714</t>
        </r>
      </text>
    </comment>
    <comment ref="A83" authorId="0" shapeId="0" xr:uid="{2604D638-BAFF-40E9-848D-13A916BDDBCE}">
      <text>
        <r>
          <rPr>
            <b/>
            <sz val="10"/>
            <color rgb="FF000000"/>
            <rFont val="Calibri"/>
            <family val="2"/>
          </rPr>
          <t>Caroline Taylor:</t>
        </r>
        <r>
          <rPr>
            <sz val="10"/>
            <color rgb="FF000000"/>
            <rFont val="Calibri"/>
            <family val="2"/>
          </rPr>
          <t xml:space="preserve">
</t>
        </r>
        <r>
          <rPr>
            <sz val="10"/>
            <color rgb="FF000000"/>
            <rFont val="Calibri"/>
            <family val="2"/>
          </rPr>
          <t>General combined into CGF, along with steepwater/steep liquor.  Up to 15%. https://corn.org/wp-content/uploads/2018/10/Feed2006.pdf</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F7B374C-FBDC-8F4A-A01B-EB50ED7AC95C}" keepAlive="1" name="Query - Auto Library" description="Connection to the 'Auto Library' query in the workbook." type="5" refreshedVersion="8" background="1" saveData="1">
    <dbPr connection="Provider=Microsoft.Mashup.OleDb.1;Data Source=$Workbook$;Location=&quot;Auto Library&quot;;Extended Properties=&quot;&quot;" command="SELECT * FROM [Auto Library]"/>
  </connection>
</connections>
</file>

<file path=xl/sharedStrings.xml><?xml version="1.0" encoding="utf-8"?>
<sst xmlns="http://schemas.openxmlformats.org/spreadsheetml/2006/main" count="1180" uniqueCount="833">
  <si>
    <t>Details of CO2 Production Process</t>
  </si>
  <si>
    <t>Results</t>
  </si>
  <si>
    <t>Products and Co-Products</t>
  </si>
  <si>
    <t>Quantity</t>
  </si>
  <si>
    <t>Unit</t>
  </si>
  <si>
    <t xml:space="preserve">Net carbon oxide benefit produced </t>
  </si>
  <si>
    <r>
      <t>Metric tons CO</t>
    </r>
    <r>
      <rPr>
        <b/>
        <vertAlign val="subscript"/>
        <sz val="16"/>
        <color theme="1" tint="0.249977111117893"/>
        <rFont val="Calibri"/>
        <family val="2"/>
        <scheme val="minor"/>
      </rPr>
      <t>2</t>
    </r>
    <r>
      <rPr>
        <b/>
        <sz val="16"/>
        <color theme="1" tint="0.249977111117893"/>
        <rFont val="Calibri"/>
        <family val="2"/>
        <scheme val="minor"/>
      </rPr>
      <t>e</t>
    </r>
  </si>
  <si>
    <t>CO2</t>
  </si>
  <si>
    <t>Metric tons</t>
  </si>
  <si>
    <t>% is Biogenic</t>
  </si>
  <si>
    <t>1c</t>
  </si>
  <si>
    <t>4c</t>
  </si>
  <si>
    <t>2c</t>
  </si>
  <si>
    <t>5c</t>
  </si>
  <si>
    <t>3c</t>
  </si>
  <si>
    <t>6c</t>
  </si>
  <si>
    <t>Material Inputs (Select from Drop-Down)</t>
  </si>
  <si>
    <t>-</t>
  </si>
  <si>
    <t>No credit</t>
  </si>
  <si>
    <t>7c</t>
  </si>
  <si>
    <t>8c</t>
  </si>
  <si>
    <t>9c</t>
  </si>
  <si>
    <t>Electricity Inputs for CO2 Production
(Select from Drop-Down)</t>
  </si>
  <si>
    <t>Electricity Inputs for CO2 Purification and Compression (Select from Drop-Down)</t>
  </si>
  <si>
    <t>Other Energy Inputs
(Select from Drop-Down)</t>
  </si>
  <si>
    <t>Raw Material Transport
(Select from Drop-Down)</t>
  </si>
  <si>
    <t>Wastes and Emissions from CO2 Production (Select from Drop-Down)</t>
  </si>
  <si>
    <t>Waste &amp; Emissions from CO2 Purification &amp; Compression (Select from Drop-Down)</t>
  </si>
  <si>
    <t>45Q Library</t>
  </si>
  <si>
    <t>Materials/Feedstocks</t>
  </si>
  <si>
    <t>Process</t>
  </si>
  <si>
    <t>Source</t>
  </si>
  <si>
    <t>Reference Flow</t>
  </si>
  <si>
    <t xml:space="preserve"> Amount</t>
  </si>
  <si>
    <t>Units</t>
  </si>
  <si>
    <t>Direct + Upstream Impacts (cradle-to-gate)</t>
  </si>
  <si>
    <t>Column1</t>
  </si>
  <si>
    <t>Column2</t>
  </si>
  <si>
    <t>GWP100</t>
  </si>
  <si>
    <t>Column4</t>
  </si>
  <si>
    <t>Column5</t>
  </si>
  <si>
    <t>Column6</t>
  </si>
  <si>
    <t>Co-Products</t>
  </si>
  <si>
    <t>Column7</t>
  </si>
  <si>
    <t>Direct Impacts (gate-to-gate)</t>
  </si>
  <si>
    <t>Direct + Upstream Impacts (cradle-to-gate)8</t>
  </si>
  <si>
    <t>Co-Products9</t>
  </si>
  <si>
    <t>Column10</t>
  </si>
  <si>
    <t>Avoided. GWP100, GREET (dep. Energy)</t>
  </si>
  <si>
    <r>
      <t>Photochemical Smog Formation Potential (kg O</t>
    </r>
    <r>
      <rPr>
        <vertAlign val="subscript"/>
        <sz val="10"/>
        <color theme="1"/>
        <rFont val="Calibri"/>
        <family val="2"/>
        <scheme val="minor"/>
      </rPr>
      <t>3</t>
    </r>
    <r>
      <rPr>
        <sz val="10"/>
        <color theme="1"/>
        <rFont val="Calibri"/>
        <family val="2"/>
        <scheme val="minor"/>
      </rPr>
      <t>e)</t>
    </r>
  </si>
  <si>
    <r>
      <t>Acidification Potential (kg SO</t>
    </r>
    <r>
      <rPr>
        <vertAlign val="subscript"/>
        <sz val="10"/>
        <color theme="1"/>
        <rFont val="Calibri"/>
        <family val="2"/>
        <scheme val="minor"/>
      </rPr>
      <t>2</t>
    </r>
    <r>
      <rPr>
        <sz val="10"/>
        <color theme="1"/>
        <rFont val="Calibri"/>
        <family val="2"/>
        <scheme val="minor"/>
      </rPr>
      <t>e)</t>
    </r>
  </si>
  <si>
    <t>Eutrophication Potential (kg NE)</t>
  </si>
  <si>
    <r>
      <t>Global Warming Potential (AR5, 100-yr) (kg CO</t>
    </r>
    <r>
      <rPr>
        <vertAlign val="subscript"/>
        <sz val="10"/>
        <color theme="1"/>
        <rFont val="Calibri"/>
        <family val="2"/>
        <scheme val="minor"/>
      </rPr>
      <t>2</t>
    </r>
    <r>
      <rPr>
        <sz val="10"/>
        <color theme="1"/>
        <rFont val="Calibri"/>
        <family val="2"/>
        <scheme val="minor"/>
      </rPr>
      <t>e)</t>
    </r>
  </si>
  <si>
    <t>Ozone Depletion Potential (kg CFC-11e)</t>
  </si>
  <si>
    <r>
      <t>Particulate Matter Formation Potential (kg PM</t>
    </r>
    <r>
      <rPr>
        <vertAlign val="subscript"/>
        <sz val="10"/>
        <color theme="1"/>
        <rFont val="Calibri"/>
        <family val="2"/>
        <scheme val="minor"/>
      </rPr>
      <t>2.5</t>
    </r>
    <r>
      <rPr>
        <sz val="10"/>
        <color theme="1"/>
        <rFont val="Calibri"/>
        <family val="2"/>
        <scheme val="minor"/>
      </rPr>
      <t>e)</t>
    </r>
  </si>
  <si>
    <t>Water Consumption (l)</t>
  </si>
  <si>
    <t>GHGRP GWP (kg CO2e)</t>
  </si>
  <si>
    <r>
      <t>Global Warming Potential (AR6, 100-yr) (kg CO</t>
    </r>
    <r>
      <rPr>
        <vertAlign val="subscript"/>
        <sz val="10"/>
        <color theme="1"/>
        <rFont val="Calibri"/>
        <family val="2"/>
        <scheme val="minor"/>
      </rPr>
      <t>2</t>
    </r>
    <r>
      <rPr>
        <sz val="10"/>
        <color theme="1"/>
        <rFont val="Calibri"/>
        <family val="2"/>
        <scheme val="minor"/>
      </rPr>
      <t>e)</t>
    </r>
  </si>
  <si>
    <t>Chicken manure, at farm</t>
  </si>
  <si>
    <t>Cut off/GREET</t>
  </si>
  <si>
    <t>1 kg manure</t>
  </si>
  <si>
    <t>kg</t>
  </si>
  <si>
    <t>CO2 captured from Ammonia Production</t>
  </si>
  <si>
    <t>NETL CO2U</t>
  </si>
  <si>
    <t>1 kg Carbon dioxide</t>
  </si>
  <si>
    <t>kg Ammonia</t>
  </si>
  <si>
    <t>CO2 Captured from Petroleum System, US Average</t>
  </si>
  <si>
    <t>kg Refinery products</t>
  </si>
  <si>
    <t>Corn stover, raw</t>
  </si>
  <si>
    <t>1 kg biomass</t>
  </si>
  <si>
    <t>Cow manure, at farm</t>
  </si>
  <si>
    <t>Diesel Stages 1 - 4 - 2005 Crude Mix</t>
  </si>
  <si>
    <t>1 kg Diesel</t>
  </si>
  <si>
    <t>Food processing waste, at processing plant</t>
  </si>
  <si>
    <t>Forest residue, chipped</t>
  </si>
  <si>
    <t>Forest residue, raw</t>
  </si>
  <si>
    <t>Forest residue, torrefied</t>
  </si>
  <si>
    <t>Gasoline Stages 1-4 - 2005 Crude Mix</t>
  </si>
  <si>
    <t>1 kg Gasoline</t>
  </si>
  <si>
    <t>Hybrid poplar, chipped</t>
  </si>
  <si>
    <t>Hybrid poplar, raw</t>
  </si>
  <si>
    <t>Hybrid poplar, torrefied</t>
  </si>
  <si>
    <t>Hydrogen from Steam Methane Reforming</t>
  </si>
  <si>
    <t>1 kg Hydrogen</t>
  </si>
  <si>
    <t>Methanol from Natural Gas</t>
  </si>
  <si>
    <t>1 kg Methanol</t>
  </si>
  <si>
    <t>Municipal organics</t>
  </si>
  <si>
    <t>1 kg organics</t>
  </si>
  <si>
    <t>Natural Gas Through Distribution - U.S. Mix</t>
  </si>
  <si>
    <t>1 kg Natural gas</t>
  </si>
  <si>
    <t>Natural Gas Through Transmission - U.S. Mix</t>
  </si>
  <si>
    <t>Ready Mix Concrete - 100% Portland Cement, 20 MPa</t>
  </si>
  <si>
    <t>1 kg concrete</t>
  </si>
  <si>
    <t>Sewage sludge to digestor</t>
  </si>
  <si>
    <t>Southern pine, chipped</t>
  </si>
  <si>
    <t>Southern pine, raw</t>
  </si>
  <si>
    <t>Southern pine, torrefied</t>
  </si>
  <si>
    <t>Steel Products, Finished Cold Rolled Coil, North America (Mar2016 update)</t>
  </si>
  <si>
    <t>1 kg Steel, finished cold rolled coil, North America</t>
  </si>
  <si>
    <t>Switchgrass, raw</t>
  </si>
  <si>
    <t>Urea Production</t>
  </si>
  <si>
    <t xml:space="preserve">1 kg Urea </t>
  </si>
  <si>
    <t>Electricity</t>
  </si>
  <si>
    <t>2050 U.S. Grid Mix</t>
  </si>
  <si>
    <t>1 MJ Electricity</t>
  </si>
  <si>
    <t>MJ</t>
  </si>
  <si>
    <t>Current U.S. Grid Mix</t>
  </si>
  <si>
    <t>Fossil Power with CCS</t>
  </si>
  <si>
    <t>Geothermal Electricity - US</t>
  </si>
  <si>
    <t>Hydropower Production - US</t>
  </si>
  <si>
    <t>NGCC Power Plant, capture, cradle-to-gate</t>
  </si>
  <si>
    <t>kg Captured CO2</t>
  </si>
  <si>
    <t>NGCC Power Plant, no capture, cradle-to-gate</t>
  </si>
  <si>
    <t>kg CO2 in flue gas</t>
  </si>
  <si>
    <t>Onshore Conventional Wind Electricity - US</t>
  </si>
  <si>
    <t>Renewables</t>
  </si>
  <si>
    <t>SCPC Power Plant, capture, cradle-to-gate</t>
  </si>
  <si>
    <t>SCPC Power Plant, no capture, cradle-to-gate</t>
  </si>
  <si>
    <t>Solar Thermal Electricity - US</t>
  </si>
  <si>
    <t>SubPC Power Plant, capture, CoLo CHP, cradle-to-gate</t>
  </si>
  <si>
    <t>SubPC Power Plant, capture, cradle-to-gate</t>
  </si>
  <si>
    <t>SubPC Power Plant, no capture, cradle-to-gate</t>
  </si>
  <si>
    <t>US Fleet Average Coal Electricity - US</t>
  </si>
  <si>
    <t>US Fleet Average Fuel Oil - US</t>
  </si>
  <si>
    <t>US Fleet Average Natural Gas Electricity - US</t>
  </si>
  <si>
    <t>US Gen II Nuclear Electricity</t>
  </si>
  <si>
    <t>Other Energy</t>
  </si>
  <si>
    <t>Combustion of Diesel</t>
  </si>
  <si>
    <t>1 kg Diesel combusted</t>
  </si>
  <si>
    <t>Combustion of Gasoline</t>
  </si>
  <si>
    <t>1 kg Gasoline combusted</t>
  </si>
  <si>
    <t>Combustion of Natural Gas</t>
  </si>
  <si>
    <t>1 kg Natural gas, combusted</t>
  </si>
  <si>
    <t>Transport</t>
  </si>
  <si>
    <t>1 Mg*km Cargo</t>
  </si>
  <si>
    <t xml:space="preserve">CO2 Pipeline (do not include pipeline to customer) </t>
  </si>
  <si>
    <t xml:space="preserve">GREET </t>
  </si>
  <si>
    <t>km</t>
  </si>
  <si>
    <t>Ocean Freighter Transport</t>
  </si>
  <si>
    <t>Train Transport</t>
  </si>
  <si>
    <t>Truck Transport</t>
  </si>
  <si>
    <t>Waste</t>
  </si>
  <si>
    <t>CH4 emissions (include fugitive emissions)</t>
  </si>
  <si>
    <t>NETL - For 45Q Applicants</t>
  </si>
  <si>
    <t>CO2 emissions</t>
  </si>
  <si>
    <t>N2O emissions</t>
  </si>
  <si>
    <t>Waste to incineration</t>
  </si>
  <si>
    <t>metric tons</t>
  </si>
  <si>
    <t>Waste to landfill</t>
  </si>
  <si>
    <t>g per lb TS</t>
  </si>
  <si>
    <t>GREET, Waste, Cell F145</t>
  </si>
  <si>
    <t>g per wet ton</t>
  </si>
  <si>
    <t>GREET, Waste, Cell S145</t>
  </si>
  <si>
    <t>GREET User Defined settings</t>
  </si>
  <si>
    <t>Landfill</t>
  </si>
  <si>
    <t>From https://catalog.data.gov/dataset/sustainable-materials-management-smm-materials-and-waste-management-in-the-united-states-key-fa2, 2018 organics data</t>
  </si>
  <si>
    <t>GREET, Waste, Cell E73</t>
  </si>
  <si>
    <t>Incineration</t>
  </si>
  <si>
    <t>GREET, Waste, Cell E74</t>
  </si>
  <si>
    <t>% Capture</t>
  </si>
  <si>
    <t xml:space="preserve">Moderate </t>
  </si>
  <si>
    <t>GREET, Waste, Cell G76</t>
  </si>
  <si>
    <t>% Flared</t>
  </si>
  <si>
    <t>GREET, Waste, Cell G78</t>
  </si>
  <si>
    <t>Paper</t>
  </si>
  <si>
    <t>GREET, Waste, Cell F90</t>
  </si>
  <si>
    <t>Glass</t>
  </si>
  <si>
    <t>GREET, Waste, Cell F91</t>
  </si>
  <si>
    <t>Ferrous</t>
  </si>
  <si>
    <t>GREET, Waste, Cell F92</t>
  </si>
  <si>
    <t>Aluminum</t>
  </si>
  <si>
    <t>GREET, Waste, Cell F93</t>
  </si>
  <si>
    <t>Other nonferrous metals</t>
  </si>
  <si>
    <t>GREET, Waste, Cell F94</t>
  </si>
  <si>
    <t>Plastics</t>
  </si>
  <si>
    <t>GREET, Waste, Cell F95</t>
  </si>
  <si>
    <t>Rubber</t>
  </si>
  <si>
    <t>GREET, Waste, Cell F96</t>
  </si>
  <si>
    <t>Leather</t>
  </si>
  <si>
    <t>GREET, Waste, Cell F97</t>
  </si>
  <si>
    <t>Textiles</t>
  </si>
  <si>
    <t>GREET, Waste, Cell F98</t>
  </si>
  <si>
    <t>Wood</t>
  </si>
  <si>
    <t>GREET, Waste, Cell F99</t>
  </si>
  <si>
    <t>Other materials</t>
  </si>
  <si>
    <t>GREET, Waste, Cell F100</t>
  </si>
  <si>
    <t>Food</t>
  </si>
  <si>
    <t>GREET, Waste, Cell F101</t>
  </si>
  <si>
    <t>Yard trimmings</t>
  </si>
  <si>
    <t>GREET, Waste, Cell F102</t>
  </si>
  <si>
    <t>Miscellaneous inorganic</t>
  </si>
  <si>
    <t>GREET, Waste, Cell F103</t>
  </si>
  <si>
    <t>Avoided organics disposal</t>
  </si>
  <si>
    <t>Avoided GHGs</t>
  </si>
  <si>
    <t>g/metric ton</t>
  </si>
  <si>
    <t>GREET, Waste, Cell M145</t>
  </si>
  <si>
    <t>kg/kg</t>
  </si>
  <si>
    <t>GREET Waste cell G145</t>
  </si>
  <si>
    <t>CO2 Pipeline</t>
  </si>
  <si>
    <t>g GHG/ton CO2 transported</t>
  </si>
  <si>
    <t>GREET, T&amp;D, Cells EL222-232</t>
  </si>
  <si>
    <t>Distance</t>
  </si>
  <si>
    <t>Miles</t>
  </si>
  <si>
    <t>GREET, T&amp;D, Cell FT159</t>
  </si>
  <si>
    <t>kg GHG/ton*km</t>
  </si>
  <si>
    <t>GREET User defined settings:</t>
  </si>
  <si>
    <t xml:space="preserve">Landfill </t>
  </si>
  <si>
    <t>GREET, Waste Cell L145/1000</t>
  </si>
  <si>
    <t>Sources</t>
  </si>
  <si>
    <t>GREET</t>
  </si>
  <si>
    <t>Argonne GREET Fuel Cycle Model</t>
  </si>
  <si>
    <t>NETLCO2ULCADocumentationSpreadsheet_061722.xlsx (live.com)</t>
  </si>
  <si>
    <t>Tab NETL Unit Process Data</t>
  </si>
  <si>
    <t>Tab GWP Impact Factors, Cells D10:E18</t>
  </si>
  <si>
    <t>Other refernces</t>
  </si>
  <si>
    <t>Carbon Oxide Sequestration Credit. Form 8933</t>
  </si>
  <si>
    <t>Form 8933 (Rev. December 2022) (irs.gov)</t>
  </si>
  <si>
    <t>About Form 8933, Carbon Oxide Sequestration Credit | Internal Revenue Service (irs.gov)</t>
  </si>
  <si>
    <t>Instructions for Form 8933 (12/2022)</t>
  </si>
  <si>
    <t>Instructions for Form 8933 (12/2022) | Internal Revenue Service (irs.gov)</t>
  </si>
  <si>
    <t xml:space="preserve">LCA REPORT </t>
  </si>
  <si>
    <t>NETL45QLCAReportTemplate_022322.docx (live.com)</t>
  </si>
  <si>
    <r>
      <t>Comparison process (</t>
    </r>
    <r>
      <rPr>
        <b/>
        <sz val="11"/>
        <color theme="1"/>
        <rFont val="Calibri"/>
        <family val="2"/>
        <scheme val="minor"/>
      </rPr>
      <t>kg GHG per metric tones of CO2 produced</t>
    </r>
    <r>
      <rPr>
        <sz val="11"/>
        <color theme="1"/>
        <rFont val="Calibri"/>
        <family val="2"/>
        <scheme val="minor"/>
      </rPr>
      <t>)</t>
    </r>
  </si>
  <si>
    <r>
      <t>Total benefit (</t>
    </r>
    <r>
      <rPr>
        <b/>
        <sz val="11"/>
        <color theme="1"/>
        <rFont val="Calibri"/>
        <family val="2"/>
        <scheme val="minor"/>
      </rPr>
      <t>metric tons CO2e</t>
    </r>
    <r>
      <rPr>
        <sz val="11"/>
        <color theme="1"/>
        <rFont val="Calibri"/>
        <family val="2"/>
        <scheme val="minor"/>
      </rPr>
      <t>)</t>
    </r>
  </si>
  <si>
    <t>Estimated 2023 tax credit</t>
  </si>
  <si>
    <t>Facility established</t>
  </si>
  <si>
    <t>Market Mix</t>
  </si>
  <si>
    <t>This process</t>
  </si>
  <si>
    <t>Difference</t>
  </si>
  <si>
    <t>Before Feb 9, 2018</t>
  </si>
  <si>
    <t>≤2022</t>
  </si>
  <si>
    <t>≥2023</t>
  </si>
  <si>
    <t>After 2022 and meeting 45(h)(2) requirements</t>
  </si>
  <si>
    <t>Total production</t>
  </si>
  <si>
    <t>Material inputs (CO2 upstream)</t>
  </si>
  <si>
    <t xml:space="preserve">CO2 placed in geological storage (not for fossil fuel recovery) </t>
  </si>
  <si>
    <t>CO2 allocation percent</t>
  </si>
  <si>
    <t>Preparation</t>
  </si>
  <si>
    <t>CO2 used for fossil fuel recovery</t>
  </si>
  <si>
    <t>Total stored carbon</t>
  </si>
  <si>
    <t>kg CO2</t>
  </si>
  <si>
    <t>Purification</t>
  </si>
  <si>
    <t>CO2 used for other purposes</t>
  </si>
  <si>
    <t>Liquefaction</t>
  </si>
  <si>
    <t>included</t>
  </si>
  <si>
    <t xml:space="preserve">Air-sourced CO2 placed in geological storage (not for fossil fuel recovery) </t>
  </si>
  <si>
    <t>Losses</t>
  </si>
  <si>
    <t>Air-sourced CO2 used for fossil fuel recovery</t>
  </si>
  <si>
    <t>End of Life - Fossil</t>
  </si>
  <si>
    <t>Air-sourced CO2 used for other purposes</t>
  </si>
  <si>
    <t>GHG impacts for production</t>
  </si>
  <si>
    <t>GHG impacts for purification and compression</t>
  </si>
  <si>
    <t>End of Life - Biogenic</t>
  </si>
  <si>
    <t>(CO2 upstream)</t>
  </si>
  <si>
    <t>Material GHG impacts (kg CO2e)</t>
  </si>
  <si>
    <t>Total</t>
  </si>
  <si>
    <t>$ per ton</t>
  </si>
  <si>
    <t>Credit value</t>
  </si>
  <si>
    <t>all dates</t>
  </si>
  <si>
    <t>pre 2022</t>
  </si>
  <si>
    <t>After 2022,</t>
  </si>
  <si>
    <t>1b</t>
  </si>
  <si>
    <t>2b</t>
  </si>
  <si>
    <t>3b</t>
  </si>
  <si>
    <t xml:space="preserve">Total </t>
  </si>
  <si>
    <t>4b</t>
  </si>
  <si>
    <t>(preparation)</t>
  </si>
  <si>
    <t>5b</t>
  </si>
  <si>
    <t>6b</t>
  </si>
  <si>
    <t>Direct Air capture</t>
  </si>
  <si>
    <t>7b</t>
  </si>
  <si>
    <t>8b</t>
  </si>
  <si>
    <t>9b</t>
  </si>
  <si>
    <t>Value for units</t>
  </si>
  <si>
    <t>unit</t>
  </si>
  <si>
    <t>Unit Conversion</t>
  </si>
  <si>
    <t>protected, no password to unblock</t>
  </si>
  <si>
    <t>CONSTANTS</t>
  </si>
  <si>
    <t>MASS</t>
  </si>
  <si>
    <t>VOLUME</t>
  </si>
  <si>
    <t>LENGTH</t>
  </si>
  <si>
    <t>ENERGY &amp; POWER</t>
  </si>
  <si>
    <t>PRESSURE</t>
  </si>
  <si>
    <t>AREA</t>
  </si>
  <si>
    <t>GWP</t>
  </si>
  <si>
    <t>Mass</t>
  </si>
  <si>
    <t>1 g</t>
  </si>
  <si>
    <t>1 kg</t>
  </si>
  <si>
    <t>1 metric tonne (T)</t>
  </si>
  <si>
    <t>1 lb</t>
  </si>
  <si>
    <t>1 short ton (UST)</t>
  </si>
  <si>
    <t>1 bu</t>
  </si>
  <si>
    <t>buMaize</t>
  </si>
  <si>
    <t>buSoybean</t>
  </si>
  <si>
    <t>cwt (USDA)</t>
  </si>
  <si>
    <t>Metric Prefix</t>
  </si>
  <si>
    <t>exponent</t>
  </si>
  <si>
    <t>symbol</t>
  </si>
  <si>
    <t>english</t>
  </si>
  <si>
    <t>pi</t>
  </si>
  <si>
    <t>g2g</t>
  </si>
  <si>
    <t>m32m3</t>
  </si>
  <si>
    <t>mm2mm</t>
  </si>
  <si>
    <t>J2J</t>
  </si>
  <si>
    <t>kPa2kPa</t>
  </si>
  <si>
    <t>ha2ac</t>
  </si>
  <si>
    <t>GWP20CO2</t>
  </si>
  <si>
    <t>g</t>
  </si>
  <si>
    <t>yotta</t>
  </si>
  <si>
    <t>Y</t>
  </si>
  <si>
    <t> septillion</t>
  </si>
  <si>
    <t>Navogadro</t>
  </si>
  <si>
    <t>g2kg</t>
  </si>
  <si>
    <t>m32ml</t>
  </si>
  <si>
    <t>mm2m</t>
  </si>
  <si>
    <t>J2kJ</t>
  </si>
  <si>
    <t>kPa2bar</t>
  </si>
  <si>
    <t>ac2ha</t>
  </si>
  <si>
    <t>GWP20CH4</t>
  </si>
  <si>
    <t>zetta</t>
  </si>
  <si>
    <t>Z</t>
  </si>
  <si>
    <t> sextillion</t>
  </si>
  <si>
    <t>KinK2O</t>
  </si>
  <si>
    <t>g2T</t>
  </si>
  <si>
    <t>m32L</t>
  </si>
  <si>
    <t>mm2km</t>
  </si>
  <si>
    <t>J2MJ</t>
  </si>
  <si>
    <t>kPa2atm</t>
  </si>
  <si>
    <t>m22ha</t>
  </si>
  <si>
    <t>GWP20N2O</t>
  </si>
  <si>
    <t>metric tonne (T)</t>
  </si>
  <si>
    <t>exa</t>
  </si>
  <si>
    <t>E</t>
  </si>
  <si>
    <t> quintillion</t>
  </si>
  <si>
    <t>g2lb</t>
  </si>
  <si>
    <t>m32gal</t>
  </si>
  <si>
    <t>mm2ft</t>
  </si>
  <si>
    <t>J2Wh</t>
  </si>
  <si>
    <t>kPa2Torr</t>
  </si>
  <si>
    <t>ha2m2</t>
  </si>
  <si>
    <t>GWP100CO2</t>
  </si>
  <si>
    <t>lb</t>
  </si>
  <si>
    <t>peta</t>
  </si>
  <si>
    <t>P</t>
  </si>
  <si>
    <t> quadrillion</t>
  </si>
  <si>
    <t>kgN2ONtokgN2O</t>
  </si>
  <si>
    <t>g2UST</t>
  </si>
  <si>
    <t>m32ft3</t>
  </si>
  <si>
    <t>mm2mi</t>
  </si>
  <si>
    <t>J2kWh</t>
  </si>
  <si>
    <t>kPa2psi</t>
  </si>
  <si>
    <t>m22ac</t>
  </si>
  <si>
    <t>GWP100CH4</t>
  </si>
  <si>
    <t>short ton (UST)</t>
  </si>
  <si>
    <t>tera</t>
  </si>
  <si>
    <t>T</t>
  </si>
  <si>
    <t> trillion</t>
  </si>
  <si>
    <t>kgNH3NtokgNH3</t>
  </si>
  <si>
    <t>kg2g</t>
  </si>
  <si>
    <t>m32bbl</t>
  </si>
  <si>
    <t>mm2cm</t>
  </si>
  <si>
    <t>J2BTU</t>
  </si>
  <si>
    <t>kPa2mmHg</t>
  </si>
  <si>
    <t>ac2m2</t>
  </si>
  <si>
    <t>GWP100N2O</t>
  </si>
  <si>
    <t>bu</t>
  </si>
  <si>
    <t>giga</t>
  </si>
  <si>
    <t>G</t>
  </si>
  <si>
    <t> billion</t>
  </si>
  <si>
    <t>kgNO2NtokgNO2</t>
  </si>
  <si>
    <t>kg2kg</t>
  </si>
  <si>
    <t>ml2m3</t>
  </si>
  <si>
    <t>m2mm</t>
  </si>
  <si>
    <t>J2MMBTU</t>
  </si>
  <si>
    <t>bar2kPa</t>
  </si>
  <si>
    <t>GWP20VOC</t>
  </si>
  <si>
    <t>mega</t>
  </si>
  <si>
    <t>M</t>
  </si>
  <si>
    <t> million</t>
  </si>
  <si>
    <t>kgNO3NtokgNO3</t>
  </si>
  <si>
    <t>kg2T</t>
  </si>
  <si>
    <t>ml2ml</t>
  </si>
  <si>
    <t>m2m</t>
  </si>
  <si>
    <t>J2hph</t>
  </si>
  <si>
    <t>bar2bar</t>
  </si>
  <si>
    <t>GWP20CO</t>
  </si>
  <si>
    <t>kilo</t>
  </si>
  <si>
    <t>k</t>
  </si>
  <si>
    <t> thousand</t>
  </si>
  <si>
    <t>kgNH3NinkgNH3</t>
  </si>
  <si>
    <t>kg2lb</t>
  </si>
  <si>
    <t>ml2L</t>
  </si>
  <si>
    <t>m2km</t>
  </si>
  <si>
    <t>kJ2J</t>
  </si>
  <si>
    <t>bar2atm</t>
  </si>
  <si>
    <t>GWP20NOx</t>
  </si>
  <si>
    <t>https://www.ers.usda.gov/webdocs/publications/41880/33132_ah697_002.pdf</t>
  </si>
  <si>
    <t>hecto</t>
  </si>
  <si>
    <t>h</t>
  </si>
  <si>
    <t> hundred</t>
  </si>
  <si>
    <t>kgN2ONinkgN2O</t>
  </si>
  <si>
    <t>kg2UST</t>
  </si>
  <si>
    <t>ml2gal</t>
  </si>
  <si>
    <t>m2ft</t>
  </si>
  <si>
    <t>kJ2kJ</t>
  </si>
  <si>
    <t>bar2Torr</t>
  </si>
  <si>
    <t>GWP20BC</t>
  </si>
  <si>
    <t>deca</t>
  </si>
  <si>
    <t>da</t>
  </si>
  <si>
    <t> ten</t>
  </si>
  <si>
    <t>kgNO2NinkgNO2</t>
  </si>
  <si>
    <t>T2g</t>
  </si>
  <si>
    <t>ml2ft3</t>
  </si>
  <si>
    <t>m2mi</t>
  </si>
  <si>
    <t>kJ2MJ</t>
  </si>
  <si>
    <t>bar2psi</t>
  </si>
  <si>
    <t>GWP20OC</t>
  </si>
  <si>
    <t>Volume</t>
  </si>
  <si>
    <t>1 m3</t>
  </si>
  <si>
    <t>1 ml</t>
  </si>
  <si>
    <t>1 L</t>
  </si>
  <si>
    <t>1 gal</t>
  </si>
  <si>
    <t>1 ft3</t>
  </si>
  <si>
    <t>1 bbl</t>
  </si>
  <si>
    <t>1 acre-foot</t>
  </si>
  <si>
    <t>–</t>
  </si>
  <si>
    <t>kgNO3NinkgNO3</t>
  </si>
  <si>
    <t>T2kg</t>
  </si>
  <si>
    <t>ml2bbl</t>
  </si>
  <si>
    <t>m2cm</t>
  </si>
  <si>
    <t>kJ2Wh</t>
  </si>
  <si>
    <t>bar2mmHg</t>
  </si>
  <si>
    <t>GWP100VOC</t>
  </si>
  <si>
    <t>m3</t>
  </si>
  <si>
    <t>deci</t>
  </si>
  <si>
    <t>d</t>
  </si>
  <si>
    <t> tenth</t>
  </si>
  <si>
    <t>T2T</t>
  </si>
  <si>
    <t>L2m3</t>
  </si>
  <si>
    <t>km2mm</t>
  </si>
  <si>
    <t>kJ2kWh</t>
  </si>
  <si>
    <t>atm2kPa</t>
  </si>
  <si>
    <t>GWP100CO</t>
  </si>
  <si>
    <t>ml</t>
  </si>
  <si>
    <t>centi</t>
  </si>
  <si>
    <t>c</t>
  </si>
  <si>
    <t> hundredth</t>
  </si>
  <si>
    <t>T2lb</t>
  </si>
  <si>
    <t>L2ml</t>
  </si>
  <si>
    <t>km2m</t>
  </si>
  <si>
    <t>kJ2BTU</t>
  </si>
  <si>
    <t>atm2bar</t>
  </si>
  <si>
    <t>GWP100NOx</t>
  </si>
  <si>
    <t>L</t>
  </si>
  <si>
    <t>milli</t>
  </si>
  <si>
    <t>m</t>
  </si>
  <si>
    <t> thousandth</t>
  </si>
  <si>
    <t>T2UST</t>
  </si>
  <si>
    <t>L2L</t>
  </si>
  <si>
    <t>km2km</t>
  </si>
  <si>
    <t>kJ2MMBTU</t>
  </si>
  <si>
    <t>atm2atm</t>
  </si>
  <si>
    <t>GWP100BC</t>
  </si>
  <si>
    <t>gal</t>
  </si>
  <si>
    <t>micro</t>
  </si>
  <si>
    <t>μ</t>
  </si>
  <si>
    <t> millionth</t>
  </si>
  <si>
    <t>kgN2OtokgN2ON</t>
  </si>
  <si>
    <t>lb2g</t>
  </si>
  <si>
    <t>L2gal</t>
  </si>
  <si>
    <t>km2ft</t>
  </si>
  <si>
    <t>kJ2hph</t>
  </si>
  <si>
    <t>atm2Torr</t>
  </si>
  <si>
    <t>GWP100OC</t>
  </si>
  <si>
    <t>ft3</t>
  </si>
  <si>
    <t>nano</t>
  </si>
  <si>
    <t>n</t>
  </si>
  <si>
    <t> billionth</t>
  </si>
  <si>
    <t>kgNH3tokgNH3N</t>
  </si>
  <si>
    <t>lb2kg</t>
  </si>
  <si>
    <t>L2ft3</t>
  </si>
  <si>
    <t>km2mi</t>
  </si>
  <si>
    <t>MJ2J</t>
  </si>
  <si>
    <t>atm2psi</t>
  </si>
  <si>
    <t>bbl</t>
  </si>
  <si>
    <t>pico</t>
  </si>
  <si>
    <t>p</t>
  </si>
  <si>
    <t> trillionth</t>
  </si>
  <si>
    <t>kgNO2tokgNO2N</t>
  </si>
  <si>
    <t>lb2T</t>
  </si>
  <si>
    <t>L2bbl</t>
  </si>
  <si>
    <t>km2cm</t>
  </si>
  <si>
    <t>MJ2kJ</t>
  </si>
  <si>
    <t>atm2mmHg</t>
  </si>
  <si>
    <t>acre-foot</t>
  </si>
  <si>
    <t>femto</t>
  </si>
  <si>
    <t>f</t>
  </si>
  <si>
    <t> quadrillionth</t>
  </si>
  <si>
    <t>kgNO3tokgNO3N</t>
  </si>
  <si>
    <t>lb2lb</t>
  </si>
  <si>
    <t>gal2m3</t>
  </si>
  <si>
    <t>ft2mm</t>
  </si>
  <si>
    <t>MJ2MJ</t>
  </si>
  <si>
    <t>Torr2kPa</t>
  </si>
  <si>
    <t>atto</t>
  </si>
  <si>
    <t>a</t>
  </si>
  <si>
    <t> quintillionth</t>
  </si>
  <si>
    <t>lb2UST</t>
  </si>
  <si>
    <t>gal2ml</t>
  </si>
  <si>
    <t>ft2m</t>
  </si>
  <si>
    <t>MJ2Wh</t>
  </si>
  <si>
    <t>Torr2bar</t>
  </si>
  <si>
    <t>Energy</t>
  </si>
  <si>
    <t>1 J</t>
  </si>
  <si>
    <t>1kJ</t>
  </si>
  <si>
    <t>1 MJ</t>
  </si>
  <si>
    <t>1Wh</t>
  </si>
  <si>
    <t>1 kWh</t>
  </si>
  <si>
    <t>1 BTU</t>
  </si>
  <si>
    <t>1 MMBTU</t>
  </si>
  <si>
    <t>1 hph</t>
  </si>
  <si>
    <t>1 therm</t>
  </si>
  <si>
    <t>1 Dth</t>
  </si>
  <si>
    <t>1 kCal</t>
  </si>
  <si>
    <t>zepto</t>
  </si>
  <si>
    <t>z</t>
  </si>
  <si>
    <t> sextillionth</t>
  </si>
  <si>
    <t>UST2g</t>
  </si>
  <si>
    <t>gal2L</t>
  </si>
  <si>
    <t>ft2km</t>
  </si>
  <si>
    <t>MJ2kWh</t>
  </si>
  <si>
    <t>Torr2atm</t>
  </si>
  <si>
    <t>J</t>
  </si>
  <si>
    <t>yocto</t>
  </si>
  <si>
    <t>y</t>
  </si>
  <si>
    <t> septillionth</t>
  </si>
  <si>
    <t>UST2kg</t>
  </si>
  <si>
    <t>gal2gal</t>
  </si>
  <si>
    <t>ft2ft</t>
  </si>
  <si>
    <t>MJ2BTU</t>
  </si>
  <si>
    <t>Torr2Torr</t>
  </si>
  <si>
    <t>kJ</t>
  </si>
  <si>
    <t>UST2T</t>
  </si>
  <si>
    <t>gal2ft3</t>
  </si>
  <si>
    <t>ft2mi</t>
  </si>
  <si>
    <t>MJ2MMBTU</t>
  </si>
  <si>
    <t>Torr2psi</t>
  </si>
  <si>
    <t>UST2lb</t>
  </si>
  <si>
    <t>gal2bbl</t>
  </si>
  <si>
    <t>ft2cm</t>
  </si>
  <si>
    <t>MJ2hph</t>
  </si>
  <si>
    <t>Torr2mmHg</t>
  </si>
  <si>
    <t>Wh</t>
  </si>
  <si>
    <t>UST2UST</t>
  </si>
  <si>
    <t>ft32m3</t>
  </si>
  <si>
    <t>mi2mm</t>
  </si>
  <si>
    <t>Wh2J</t>
  </si>
  <si>
    <t>psi2kPa</t>
  </si>
  <si>
    <t>kWh</t>
  </si>
  <si>
    <t>bu2lb</t>
  </si>
  <si>
    <t>ft32ml</t>
  </si>
  <si>
    <t>mi2m</t>
  </si>
  <si>
    <t>Wh2kJ</t>
  </si>
  <si>
    <t>psi2bar</t>
  </si>
  <si>
    <t>BTU</t>
  </si>
  <si>
    <t>lb2bu</t>
  </si>
  <si>
    <t>ft32L</t>
  </si>
  <si>
    <t>mi2km</t>
  </si>
  <si>
    <t>Wh2MJ</t>
  </si>
  <si>
    <t>psi2atm</t>
  </si>
  <si>
    <t>MMBTU</t>
  </si>
  <si>
    <t>AR5/GWP</t>
  </si>
  <si>
    <t>g2mg</t>
  </si>
  <si>
    <t>ft32gal</t>
  </si>
  <si>
    <t>mi2ft</t>
  </si>
  <si>
    <t>Wh2Wh</t>
  </si>
  <si>
    <t>psi2Torr</t>
  </si>
  <si>
    <t>hph</t>
  </si>
  <si>
    <t>Time Horizon (YR)</t>
  </si>
  <si>
    <t>Atomic Masses</t>
  </si>
  <si>
    <t>AMU (g/mol)</t>
  </si>
  <si>
    <t>mg2g</t>
  </si>
  <si>
    <t>ft32ft3</t>
  </si>
  <si>
    <t>mi2mi</t>
  </si>
  <si>
    <t>Wh2kWh</t>
  </si>
  <si>
    <t>psi2psi</t>
  </si>
  <si>
    <t>therm</t>
  </si>
  <si>
    <t>AW_Cl</t>
  </si>
  <si>
    <t>buMaize2lb</t>
  </si>
  <si>
    <t>ft32bbl</t>
  </si>
  <si>
    <t>mi2cm</t>
  </si>
  <si>
    <t>Wh2BTU</t>
  </si>
  <si>
    <t>psi2mmHg</t>
  </si>
  <si>
    <t>Dth</t>
  </si>
  <si>
    <t>CH4</t>
  </si>
  <si>
    <t>AW_K</t>
  </si>
  <si>
    <t>buSoybean2lb</t>
  </si>
  <si>
    <t>bbl2m3</t>
  </si>
  <si>
    <t>cm2mm</t>
  </si>
  <si>
    <t>Wh2MMBTU</t>
  </si>
  <si>
    <t>mmHg2kPa</t>
  </si>
  <si>
    <t>kcal</t>
  </si>
  <si>
    <t>N2O</t>
  </si>
  <si>
    <t>AW_Na</t>
  </si>
  <si>
    <t>lb2buMaize</t>
  </si>
  <si>
    <t>bbl2ml</t>
  </si>
  <si>
    <t>cm2m</t>
  </si>
  <si>
    <t>Wh2hph</t>
  </si>
  <si>
    <t>mmHg2bar</t>
  </si>
  <si>
    <t>AW_H</t>
  </si>
  <si>
    <t>lb2buSoybean</t>
  </si>
  <si>
    <t>bbl2L</t>
  </si>
  <si>
    <t>cm2km</t>
  </si>
  <si>
    <t>kWh2J</t>
  </si>
  <si>
    <t>mmHg2atm</t>
  </si>
  <si>
    <t>AW_P</t>
  </si>
  <si>
    <t>cwt2lb</t>
  </si>
  <si>
    <t>bbl2gal</t>
  </si>
  <si>
    <t>cm2ft</t>
  </si>
  <si>
    <t>kWh2kJ</t>
  </si>
  <si>
    <t>mmHg2Torr</t>
  </si>
  <si>
    <t>Length</t>
  </si>
  <si>
    <t>mm</t>
  </si>
  <si>
    <t>ft</t>
  </si>
  <si>
    <t>mi</t>
  </si>
  <si>
    <t>cm</t>
  </si>
  <si>
    <t>in</t>
  </si>
  <si>
    <t>Metrics for Near Term Climate Forcers</t>
  </si>
  <si>
    <t>AW_O</t>
  </si>
  <si>
    <t>lb2cwt</t>
  </si>
  <si>
    <t>bbl2ft3</t>
  </si>
  <si>
    <t>cm2mi</t>
  </si>
  <si>
    <t>kWh2MJ</t>
  </si>
  <si>
    <t>mmHg2psi</t>
  </si>
  <si>
    <t>AW_N</t>
  </si>
  <si>
    <t>bbl2bbl</t>
  </si>
  <si>
    <t>cm2cm</t>
  </si>
  <si>
    <t>kWh2Wh</t>
  </si>
  <si>
    <t>mmHg2mmHg</t>
  </si>
  <si>
    <t>VOC</t>
  </si>
  <si>
    <t>AW_C</t>
  </si>
  <si>
    <t>acrefoot2m3</t>
  </si>
  <si>
    <t>in2cm</t>
  </si>
  <si>
    <t>kWh2kWh</t>
  </si>
  <si>
    <t>CO</t>
  </si>
  <si>
    <t>AW_S</t>
  </si>
  <si>
    <t>m32acrefoot</t>
  </si>
  <si>
    <t>cm2in</t>
  </si>
  <si>
    <t>kWh2BTU</t>
  </si>
  <si>
    <t>NOx</t>
  </si>
  <si>
    <t>AW_Ca</t>
  </si>
  <si>
    <t>kWh2MMBTU</t>
  </si>
  <si>
    <t>BC</t>
  </si>
  <si>
    <t>kWh2hph</t>
  </si>
  <si>
    <t>OC</t>
  </si>
  <si>
    <t>BTU2J</t>
  </si>
  <si>
    <t>BTU2kJ</t>
  </si>
  <si>
    <t>Carbon and Sulfur Ratios of Pollutants</t>
  </si>
  <si>
    <t>BTU2MJ</t>
  </si>
  <si>
    <t>Pressure</t>
  </si>
  <si>
    <t>1 kPa</t>
  </si>
  <si>
    <t>bar</t>
  </si>
  <si>
    <t>atm</t>
  </si>
  <si>
    <t>Torr</t>
  </si>
  <si>
    <t>psi</t>
  </si>
  <si>
    <t>mmHg</t>
  </si>
  <si>
    <t>Carbon ratio of VOC</t>
  </si>
  <si>
    <t>CinVOC</t>
  </si>
  <si>
    <t>BTU2Wh</t>
  </si>
  <si>
    <t>kPa</t>
  </si>
  <si>
    <t>Carbon ratio of CO</t>
  </si>
  <si>
    <t>CinCO</t>
  </si>
  <si>
    <t>BTU2kWh</t>
  </si>
  <si>
    <t>Carbon ratio of CH4</t>
  </si>
  <si>
    <t>CinCH4</t>
  </si>
  <si>
    <t>BTU2BTU</t>
  </si>
  <si>
    <t>Carbon ratio of CO2</t>
  </si>
  <si>
    <t>CinCO2</t>
  </si>
  <si>
    <t>BTU2MMBTU</t>
  </si>
  <si>
    <t>Sulfur ratio of SO2</t>
  </si>
  <si>
    <t>SinSO2</t>
  </si>
  <si>
    <t>Btu2hph</t>
  </si>
  <si>
    <t>MMBTU2J</t>
  </si>
  <si>
    <t>MMBTU2kJ</t>
  </si>
  <si>
    <t>N2O Emission Factors - Defaults -  IPCC 2006 Guidelines for National Greenhouse Gas Inventories</t>
  </si>
  <si>
    <t>MMBTU2MJ</t>
  </si>
  <si>
    <t>Factor</t>
  </si>
  <si>
    <t>Value</t>
  </si>
  <si>
    <t>Uncertainty range - Min</t>
  </si>
  <si>
    <t>Uncertainty range - Max</t>
  </si>
  <si>
    <t>MMBTU2Wh</t>
  </si>
  <si>
    <t>Area</t>
  </si>
  <si>
    <t>1 hectare</t>
  </si>
  <si>
    <t>1 acre</t>
  </si>
  <si>
    <t>1 m2</t>
  </si>
  <si>
    <t>N2O_EF1</t>
  </si>
  <si>
    <t>kg N2O-N/kg N</t>
  </si>
  <si>
    <t>Table 11.1, 2019 Refinement</t>
  </si>
  <si>
    <t>MMBTU2kWh</t>
  </si>
  <si>
    <t>hectare</t>
  </si>
  <si>
    <t>N2O_FracGASF</t>
  </si>
  <si>
    <t>Unitless</t>
  </si>
  <si>
    <t>Table 11.3</t>
  </si>
  <si>
    <t>MMBTU2BTU</t>
  </si>
  <si>
    <t>acre</t>
  </si>
  <si>
    <t>N2O_FracGASM</t>
  </si>
  <si>
    <t>kg N volatilzed/kg N applied</t>
  </si>
  <si>
    <t>MMBTU2MMBTU</t>
  </si>
  <si>
    <t>m2</t>
  </si>
  <si>
    <t>N2O_EF4</t>
  </si>
  <si>
    <t>kg N–N2O/(kg NH3–N + NOx–N volatilised)</t>
  </si>
  <si>
    <t>mmBtu2hph</t>
  </si>
  <si>
    <t>synthetic</t>
  </si>
  <si>
    <t>N2O_FracLEACH</t>
  </si>
  <si>
    <t>hph2J</t>
  </si>
  <si>
    <t>organic</t>
  </si>
  <si>
    <t>N2O_EF5</t>
  </si>
  <si>
    <t>hph2kJ</t>
  </si>
  <si>
    <t>FracGASM2019</t>
  </si>
  <si>
    <t>hph2kWh</t>
  </si>
  <si>
    <t>FracLEACH2019</t>
  </si>
  <si>
    <t>Table 11.3, 2019 Refinement</t>
  </si>
  <si>
    <t>hph2MJ</t>
  </si>
  <si>
    <t>Steam Tables</t>
  </si>
  <si>
    <t>FracGASF_Urea</t>
  </si>
  <si>
    <t>Urea-specific, Table 11.3 2019 Refinment</t>
  </si>
  <si>
    <t>hph2MMBTU</t>
  </si>
  <si>
    <t>Saturated steam @</t>
  </si>
  <si>
    <t>BTU/lb</t>
  </si>
  <si>
    <t>FracGASF_ammonium</t>
  </si>
  <si>
    <t>ammonium-based specific, Table 11.3 2019 Refinement</t>
  </si>
  <si>
    <t>hph2Wh</t>
  </si>
  <si>
    <t>5 psi</t>
  </si>
  <si>
    <t>lb2btu5psi</t>
  </si>
  <si>
    <t>FracGASF_nitrate</t>
  </si>
  <si>
    <t>nitrate-based specific, Table 11.3 2019 Refinement</t>
  </si>
  <si>
    <t>hph2BTU</t>
  </si>
  <si>
    <t>15 psi</t>
  </si>
  <si>
    <t>lb2btu15psi</t>
  </si>
  <si>
    <t>FracGASF_ammoniumnitrate</t>
  </si>
  <si>
    <t>ammonium nitrate-based specific, Table 11.3 2019 Refinement</t>
  </si>
  <si>
    <t>hph2hph</t>
  </si>
  <si>
    <t>150 psi</t>
  </si>
  <si>
    <t>lb2btu150psi</t>
  </si>
  <si>
    <t>CO2_EF_limestoneT1</t>
  </si>
  <si>
    <t>kg CO2-C/kg lime</t>
  </si>
  <si>
    <t>P 11.27, 2006</t>
  </si>
  <si>
    <t>Dth2J</t>
  </si>
  <si>
    <t>160 psi</t>
  </si>
  <si>
    <t>lb2btu160psi</t>
  </si>
  <si>
    <t>CO2_EF_urea</t>
  </si>
  <si>
    <t>kg CO2-C/kg urea</t>
  </si>
  <si>
    <t>Dth2kJ</t>
  </si>
  <si>
    <t>175 psi</t>
  </si>
  <si>
    <t>lb2btu175psi</t>
  </si>
  <si>
    <t>Dth2MJ</t>
  </si>
  <si>
    <t>180 psi</t>
  </si>
  <si>
    <t>lb2btu180psi</t>
  </si>
  <si>
    <t>Dth2Wh</t>
  </si>
  <si>
    <t>200 psi</t>
  </si>
  <si>
    <t>lb2btu200psi</t>
  </si>
  <si>
    <t>Dth2kWh</t>
  </si>
  <si>
    <t>Steam values (https://www5.eere.energy.gov/manufacturing/tech_deployment/amo_steam_tool/propSteam)</t>
  </si>
  <si>
    <t>Dth2BTU</t>
  </si>
  <si>
    <t>Dth2MMBTU</t>
  </si>
  <si>
    <t>Dth2hph</t>
  </si>
  <si>
    <t>Dth2therm</t>
  </si>
  <si>
    <t>Feed Tables</t>
  </si>
  <si>
    <t>Dth2Dth</t>
  </si>
  <si>
    <t>Feed</t>
  </si>
  <si>
    <t>Moisture Content</t>
  </si>
  <si>
    <t>Protein Content (dm)</t>
  </si>
  <si>
    <t>Oil Content as germ</t>
  </si>
  <si>
    <t>therm2J</t>
  </si>
  <si>
    <t>Germ</t>
  </si>
  <si>
    <t>h2o_germ</t>
  </si>
  <si>
    <t>therm2kJ</t>
  </si>
  <si>
    <t>Corn gluten meal</t>
  </si>
  <si>
    <t>h2o_cgm</t>
  </si>
  <si>
    <t>therm2MJ</t>
  </si>
  <si>
    <t>Corn gluten feed - dry</t>
  </si>
  <si>
    <t>h2o_cgf</t>
  </si>
  <si>
    <t>therm2Wh</t>
  </si>
  <si>
    <t>Wet feed</t>
  </si>
  <si>
    <t>h2o_wcgf</t>
  </si>
  <si>
    <t>therm2kWh</t>
  </si>
  <si>
    <t>Oil</t>
  </si>
  <si>
    <t>therm2BTU</t>
  </si>
  <si>
    <t>Pellets</t>
  </si>
  <si>
    <t>therm2MMBTU</t>
  </si>
  <si>
    <t>Net Screenings</t>
  </si>
  <si>
    <t>therm2hph</t>
  </si>
  <si>
    <t>therm2therm</t>
  </si>
  <si>
    <t>therm2Dth</t>
  </si>
  <si>
    <t>J2Dth</t>
  </si>
  <si>
    <t>kJ2Dth</t>
  </si>
  <si>
    <t>Pppm2LBperAcre</t>
  </si>
  <si>
    <t xml:space="preserve">Hannan, J (2018) Interpreting Soil Reports. Iowa State University Extension and Outreach. https://www.extension.iastate.edu/smallfarms/interpreting-soil-reports </t>
  </si>
  <si>
    <t>MJ2Dth</t>
  </si>
  <si>
    <t>A soil report will list phosphorus and potassium in pounds per acre (lbs/acre) or parts per million (ppm).  The formula lbs/acre = ppm x 2 can be used to convert between the two numbers.</t>
  </si>
  <si>
    <t>Wh2Dth</t>
  </si>
  <si>
    <t>kWh2Dth</t>
  </si>
  <si>
    <t>BTU2Dth</t>
  </si>
  <si>
    <t>MMBTU2Dth</t>
  </si>
  <si>
    <t>hph2Dth</t>
  </si>
  <si>
    <t>J2therm</t>
  </si>
  <si>
    <t>kJ2therm</t>
  </si>
  <si>
    <t>MJ2therm</t>
  </si>
  <si>
    <t>Wh2therm</t>
  </si>
  <si>
    <t>kWh2therm</t>
  </si>
  <si>
    <t>BTU2therm</t>
  </si>
  <si>
    <t>MMBTU2therm</t>
  </si>
  <si>
    <t>hph2therm</t>
  </si>
  <si>
    <t>kCal2J</t>
  </si>
  <si>
    <t>kCal2kJ</t>
  </si>
  <si>
    <t>kCal2MJ</t>
  </si>
  <si>
    <t>kCal2Wh</t>
  </si>
  <si>
    <t>kCal2kWh</t>
  </si>
  <si>
    <t>kCal2BTU</t>
  </si>
  <si>
    <t>kCal2MMBTU</t>
  </si>
  <si>
    <t>kCal2hph</t>
  </si>
  <si>
    <t>kCal2therm</t>
  </si>
  <si>
    <t>kCal2Dth</t>
  </si>
  <si>
    <t>J2kCal</t>
  </si>
  <si>
    <t>kJ2kCal</t>
  </si>
  <si>
    <t>MJ2kCal</t>
  </si>
  <si>
    <t>Wh2kCal</t>
  </si>
  <si>
    <t>kWh2kCal</t>
  </si>
  <si>
    <t>BTU2kCal</t>
  </si>
  <si>
    <t>MMBTU2kCal</t>
  </si>
  <si>
    <t>hph2kCal</t>
  </si>
  <si>
    <t>therm2kCal</t>
  </si>
  <si>
    <t>Dth2kCal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</si>
</sst>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000"/>
    <numFmt numFmtId="165" formatCode="#,##0.000"/>
    <numFmt numFmtId="166" formatCode="#,##0.000000"/>
    <numFmt numFmtId="167" formatCode="0.000000"/>
    <numFmt numFmtId="168" formatCode="0.000"/>
    <numFmt numFmtId="169" formatCode="#,##0.0"/>
    <numFmt numFmtId="170" formatCode="#,##0.0000000"/>
    <numFmt numFmtId="171" formatCode="_(* #,##0_);_(* \(#,##0\);_(* &quot;-&quot;??_);_(@_)"/>
    <numFmt numFmtId="172" formatCode="#,##0.00000"/>
    <numFmt numFmtId="173" formatCode="#,##0.0000"/>
    <numFmt numFmtId="174" formatCode="#,##0.000000000"/>
    <numFmt numFmtId="175" formatCode="#,##0.0000000000"/>
    <numFmt numFmtId="176" formatCode="_(* #,##0.0_);_(* \(#,##0.0\);_(* &quot;-&quot;??_);_(@_)"/>
    <numFmt numFmtId="177" formatCode="&quot;$&quot;#,##0.00"/>
    <numFmt numFmtId="178" formatCode="&quot;$&quot;#,##0"/>
    <numFmt numFmtId="179" formatCode="_(* #,##0.0000_);_(* \(#,##0.0000\);_(* &quot;-&quot;??_);_(@_)"/>
  </numFmts>
  <fonts count="37">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name val="Arial"/>
      <family val="2"/>
    </font>
    <font>
      <b/>
      <sz val="10"/>
      <name val="Arial"/>
      <family val="2"/>
    </font>
    <font>
      <sz val="12"/>
      <color theme="1"/>
      <name val="Calibri"/>
      <family val="2"/>
      <scheme val="minor"/>
    </font>
    <font>
      <b/>
      <sz val="10"/>
      <color rgb="FF000000"/>
      <name val="Calibri"/>
      <family val="2"/>
    </font>
    <font>
      <sz val="10"/>
      <color rgb="FF000000"/>
      <name val="Calibri"/>
      <family val="2"/>
    </font>
    <font>
      <sz val="10"/>
      <name val="Arial"/>
      <family val="2"/>
    </font>
    <font>
      <sz val="9"/>
      <color indexed="81"/>
      <name val="Tahoma"/>
      <family val="2"/>
    </font>
    <font>
      <b/>
      <sz val="9"/>
      <color indexed="81"/>
      <name val="Tahoma"/>
      <family val="2"/>
    </font>
    <font>
      <i/>
      <sz val="11"/>
      <color theme="0" tint="-0.499984740745262"/>
      <name val="Calibri"/>
      <family val="2"/>
      <scheme val="minor"/>
    </font>
    <font>
      <b/>
      <sz val="16"/>
      <color theme="1"/>
      <name val="Calibri"/>
      <family val="2"/>
      <scheme val="minor"/>
    </font>
    <font>
      <sz val="11"/>
      <color theme="0" tint="-0.499984740745262"/>
      <name val="Calibri"/>
      <family val="2"/>
      <scheme val="minor"/>
    </font>
    <font>
      <b/>
      <sz val="16"/>
      <color theme="1" tint="0.249977111117893"/>
      <name val="Calibri"/>
      <family val="2"/>
      <scheme val="minor"/>
    </font>
    <font>
      <sz val="8"/>
      <name val="Calibri"/>
      <family val="2"/>
      <scheme val="minor"/>
    </font>
    <font>
      <b/>
      <sz val="14"/>
      <color theme="1"/>
      <name val="Calibri"/>
      <family val="2"/>
      <scheme val="minor"/>
    </font>
    <font>
      <b/>
      <vertAlign val="subscript"/>
      <sz val="16"/>
      <color theme="1" tint="0.249977111117893"/>
      <name val="Calibri"/>
      <family val="2"/>
      <scheme val="minor"/>
    </font>
    <font>
      <b/>
      <sz val="12"/>
      <color theme="1"/>
      <name val="Calibri"/>
      <family val="2"/>
      <scheme val="minor"/>
    </font>
    <font>
      <sz val="11"/>
      <name val="Calibri"/>
      <family val="2"/>
      <scheme val="minor"/>
    </font>
    <font>
      <u/>
      <sz val="11"/>
      <color theme="10"/>
      <name val="Calibri"/>
      <family val="2"/>
      <scheme val="minor"/>
    </font>
    <font>
      <b/>
      <sz val="18"/>
      <color theme="1"/>
      <name val="Calibri"/>
      <family val="2"/>
      <scheme val="minor"/>
    </font>
    <font>
      <b/>
      <sz val="16"/>
      <color theme="2"/>
      <name val="Calibri"/>
      <family val="2"/>
      <scheme val="minor"/>
    </font>
    <font>
      <b/>
      <sz val="11"/>
      <color theme="1" tint="0.34998626667073579"/>
      <name val="Calibri"/>
      <family val="2"/>
      <scheme val="minor"/>
    </font>
    <font>
      <b/>
      <sz val="20"/>
      <color theme="2"/>
      <name val="Calibri"/>
      <family val="2"/>
      <scheme val="minor"/>
    </font>
    <font>
      <sz val="10"/>
      <color theme="1"/>
      <name val="Calibri"/>
      <family val="2"/>
      <scheme val="minor"/>
    </font>
    <font>
      <b/>
      <sz val="10"/>
      <color theme="1"/>
      <name val="Calibri"/>
      <family val="2"/>
      <scheme val="minor"/>
    </font>
    <font>
      <vertAlign val="subscript"/>
      <sz val="10"/>
      <color theme="1"/>
      <name val="Calibri"/>
      <family val="2"/>
      <scheme val="minor"/>
    </font>
    <font>
      <sz val="10"/>
      <name val="Calibri"/>
      <family val="2"/>
      <scheme val="minor"/>
    </font>
    <font>
      <b/>
      <sz val="18"/>
      <color theme="4"/>
      <name val="Calibri"/>
      <family val="2"/>
      <scheme val="minor"/>
    </font>
    <font>
      <sz val="11"/>
      <color theme="0"/>
      <name val="Calibri (Body)"/>
    </font>
    <font>
      <sz val="11"/>
      <color theme="0"/>
      <name val="Calibri"/>
      <family val="2"/>
      <scheme val="minor"/>
    </font>
    <font>
      <b/>
      <sz val="11"/>
      <color theme="8"/>
      <name val="Calibri"/>
      <family val="2"/>
      <scheme val="minor"/>
    </font>
    <font>
      <b/>
      <sz val="11"/>
      <color theme="2"/>
      <name val="Calibri"/>
      <family val="2"/>
      <scheme val="minor"/>
    </font>
    <font>
      <sz val="9"/>
      <color indexed="81"/>
      <name val="Tahoma"/>
      <charset val="1"/>
    </font>
    <font>
      <b/>
      <sz val="9"/>
      <color indexed="81"/>
      <name val="Tahoma"/>
      <charset val="1"/>
    </font>
  </fonts>
  <fills count="2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FFBDBD"/>
        <bgColor indexed="64"/>
      </patternFill>
    </fill>
    <fill>
      <patternFill patternType="solid">
        <fgColor rgb="FFCCCCFF"/>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E7E7FF"/>
        <bgColor indexed="64"/>
      </patternFill>
    </fill>
    <fill>
      <patternFill patternType="solid">
        <fgColor rgb="FFFFD9D9"/>
        <bgColor indexed="64"/>
      </patternFill>
    </fill>
    <fill>
      <patternFill patternType="solid">
        <fgColor theme="7" tint="0.79998168889431442"/>
        <bgColor indexed="64"/>
      </patternFill>
    </fill>
    <fill>
      <patternFill patternType="solid">
        <fgColor theme="6"/>
        <bgColor indexed="64"/>
      </patternFill>
    </fill>
    <fill>
      <patternFill patternType="solid">
        <fgColor rgb="FFFF8181"/>
        <bgColor indexed="64"/>
      </patternFill>
    </fill>
    <fill>
      <patternFill patternType="solid">
        <fgColor rgb="FFFFCC99"/>
        <bgColor indexed="64"/>
      </patternFill>
    </fill>
    <fill>
      <patternFill patternType="solid">
        <fgColor rgb="FFD8A588"/>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right/>
      <top/>
      <bottom style="thin">
        <color theme="0" tint="-0.24994659260841701"/>
      </bottom>
      <diagonal/>
    </border>
    <border>
      <left/>
      <right/>
      <top style="thin">
        <color theme="0" tint="-0.14996795556505021"/>
      </top>
      <bottom style="thin">
        <color theme="0" tint="-0.14996795556505021"/>
      </bottom>
      <diagonal/>
    </border>
    <border>
      <left/>
      <right/>
      <top style="thick">
        <color theme="0" tint="-0.14996795556505021"/>
      </top>
      <bottom style="thick">
        <color theme="0" tint="-0.14996795556505021"/>
      </bottom>
      <diagonal/>
    </border>
    <border>
      <left/>
      <right/>
      <top/>
      <bottom style="thin">
        <color theme="0" tint="-0.14996795556505021"/>
      </bottom>
      <diagonal/>
    </border>
    <border>
      <left/>
      <right/>
      <top style="thin">
        <color theme="0" tint="-0.14996795556505021"/>
      </top>
      <bottom/>
      <diagonal/>
    </border>
    <border>
      <left style="medium">
        <color auto="1"/>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theme="0" tint="-0.1499679555650502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s>
  <cellStyleXfs count="15">
    <xf numFmtId="0" fontId="0" fillId="0" borderId="0"/>
    <xf numFmtId="0" fontId="1" fillId="0" borderId="0"/>
    <xf numFmtId="0" fontId="3" fillId="0" borderId="0"/>
    <xf numFmtId="0" fontId="1" fillId="0" borderId="0"/>
    <xf numFmtId="0" fontId="6"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21" fillId="0" borderId="0" applyNumberFormat="0" applyFill="0" applyBorder="0" applyAlignment="0" applyProtection="0"/>
  </cellStyleXfs>
  <cellXfs count="263">
    <xf numFmtId="0" fontId="0" fillId="0" borderId="0" xfId="0"/>
    <xf numFmtId="0" fontId="1" fillId="0" borderId="0" xfId="3"/>
    <xf numFmtId="0" fontId="5" fillId="0" borderId="1" xfId="3" applyFont="1" applyBorder="1" applyAlignment="1">
      <alignment horizontal="center"/>
    </xf>
    <xf numFmtId="0" fontId="1" fillId="0" borderId="11" xfId="3" applyBorder="1" applyAlignment="1">
      <alignment horizontal="center"/>
    </xf>
    <xf numFmtId="0" fontId="1" fillId="0" borderId="12" xfId="3" applyBorder="1" applyAlignment="1">
      <alignment horizontal="center"/>
    </xf>
    <xf numFmtId="0" fontId="2" fillId="0" borderId="1" xfId="3" applyFont="1" applyBorder="1" applyAlignment="1">
      <alignment horizontal="center"/>
    </xf>
    <xf numFmtId="0" fontId="1" fillId="0" borderId="4" xfId="3" applyBorder="1" applyAlignment="1">
      <alignment horizontal="center"/>
    </xf>
    <xf numFmtId="0" fontId="1" fillId="0" borderId="5" xfId="3" applyBorder="1" applyAlignment="1">
      <alignment horizontal="center"/>
    </xf>
    <xf numFmtId="0" fontId="1" fillId="0" borderId="0" xfId="3" applyAlignment="1">
      <alignment horizontal="center"/>
    </xf>
    <xf numFmtId="11" fontId="1" fillId="0" borderId="0" xfId="3" applyNumberFormat="1"/>
    <xf numFmtId="0" fontId="1" fillId="0" borderId="0" xfId="3" applyAlignment="1">
      <alignment horizontal="left"/>
    </xf>
    <xf numFmtId="164" fontId="1" fillId="0" borderId="0" xfId="3" applyNumberFormat="1"/>
    <xf numFmtId="0" fontId="1" fillId="0" borderId="8" xfId="3" applyBorder="1"/>
    <xf numFmtId="0" fontId="1" fillId="0" borderId="13" xfId="3" applyBorder="1" applyAlignment="1">
      <alignment horizontal="center"/>
    </xf>
    <xf numFmtId="3" fontId="1" fillId="0" borderId="13" xfId="3" applyNumberFormat="1" applyBorder="1" applyAlignment="1">
      <alignment horizontal="center"/>
    </xf>
    <xf numFmtId="3" fontId="1" fillId="0" borderId="4" xfId="3" applyNumberFormat="1" applyBorder="1" applyAlignment="1">
      <alignment horizontal="center"/>
    </xf>
    <xf numFmtId="0" fontId="1" fillId="0" borderId="14" xfId="3" applyBorder="1"/>
    <xf numFmtId="0" fontId="1" fillId="0" borderId="2" xfId="3" applyBorder="1" applyAlignment="1">
      <alignment horizontal="center"/>
    </xf>
    <xf numFmtId="11" fontId="1" fillId="0" borderId="13" xfId="3" applyNumberFormat="1" applyBorder="1"/>
    <xf numFmtId="0" fontId="1" fillId="0" borderId="5" xfId="3" applyBorder="1"/>
    <xf numFmtId="0" fontId="1" fillId="0" borderId="8" xfId="3" applyBorder="1" applyAlignment="1">
      <alignment horizontal="center"/>
    </xf>
    <xf numFmtId="166" fontId="1" fillId="0" borderId="8" xfId="3" applyNumberFormat="1" applyBorder="1" applyAlignment="1">
      <alignment horizontal="center"/>
    </xf>
    <xf numFmtId="3" fontId="1" fillId="0" borderId="0" xfId="3" applyNumberFormat="1" applyAlignment="1">
      <alignment horizontal="center"/>
    </xf>
    <xf numFmtId="165" fontId="1" fillId="0" borderId="0" xfId="3" applyNumberFormat="1" applyAlignment="1">
      <alignment horizontal="center"/>
    </xf>
    <xf numFmtId="165" fontId="1" fillId="0" borderId="14" xfId="3" applyNumberFormat="1" applyBorder="1" applyAlignment="1">
      <alignment horizontal="center"/>
    </xf>
    <xf numFmtId="0" fontId="1" fillId="0" borderId="9" xfId="3" applyBorder="1" applyAlignment="1">
      <alignment horizontal="center"/>
    </xf>
    <xf numFmtId="11" fontId="1" fillId="0" borderId="8" xfId="3" applyNumberFormat="1" applyBorder="1"/>
    <xf numFmtId="0" fontId="1" fillId="0" borderId="15" xfId="3" applyBorder="1"/>
    <xf numFmtId="166" fontId="1" fillId="0" borderId="0" xfId="3" applyNumberFormat="1" applyAlignment="1">
      <alignment horizontal="center"/>
    </xf>
    <xf numFmtId="3" fontId="1" fillId="0" borderId="14" xfId="3" applyNumberFormat="1" applyBorder="1" applyAlignment="1">
      <alignment horizontal="center"/>
    </xf>
    <xf numFmtId="0" fontId="1" fillId="0" borderId="15" xfId="3" applyBorder="1" applyAlignment="1">
      <alignment horizontal="center"/>
    </xf>
    <xf numFmtId="166" fontId="1" fillId="0" borderId="6" xfId="3" applyNumberFormat="1" applyBorder="1" applyAlignment="1">
      <alignment horizontal="center"/>
    </xf>
    <xf numFmtId="165" fontId="1" fillId="0" borderId="6" xfId="3" applyNumberFormat="1" applyBorder="1" applyAlignment="1">
      <alignment horizontal="center"/>
    </xf>
    <xf numFmtId="3" fontId="1" fillId="0" borderId="7" xfId="3" applyNumberFormat="1" applyBorder="1" applyAlignment="1">
      <alignment horizontal="center"/>
    </xf>
    <xf numFmtId="3" fontId="1" fillId="0" borderId="6" xfId="3" applyNumberFormat="1" applyBorder="1" applyAlignment="1">
      <alignment horizontal="center"/>
    </xf>
    <xf numFmtId="0" fontId="1" fillId="0" borderId="7" xfId="3" applyBorder="1"/>
    <xf numFmtId="167" fontId="1" fillId="0" borderId="0" xfId="3" applyNumberFormat="1"/>
    <xf numFmtId="167" fontId="1" fillId="0" borderId="4" xfId="3" applyNumberFormat="1" applyBorder="1" applyAlignment="1">
      <alignment horizontal="center"/>
    </xf>
    <xf numFmtId="168" fontId="1" fillId="0" borderId="4" xfId="3" applyNumberFormat="1" applyBorder="1" applyAlignment="1">
      <alignment horizontal="center"/>
    </xf>
    <xf numFmtId="164" fontId="1" fillId="0" borderId="4" xfId="3" applyNumberFormat="1" applyBorder="1" applyAlignment="1">
      <alignment horizontal="center"/>
    </xf>
    <xf numFmtId="164" fontId="1" fillId="0" borderId="5" xfId="3" applyNumberFormat="1" applyBorder="1" applyAlignment="1">
      <alignment horizontal="center"/>
    </xf>
    <xf numFmtId="3" fontId="1" fillId="0" borderId="8" xfId="3" applyNumberFormat="1" applyBorder="1" applyAlignment="1">
      <alignment horizontal="center"/>
    </xf>
    <xf numFmtId="169" fontId="1" fillId="0" borderId="8" xfId="3" applyNumberFormat="1" applyBorder="1" applyAlignment="1">
      <alignment horizontal="center"/>
    </xf>
    <xf numFmtId="168" fontId="1" fillId="0" borderId="0" xfId="3" applyNumberFormat="1"/>
    <xf numFmtId="0" fontId="1" fillId="0" borderId="3" xfId="3" applyBorder="1" applyAlignment="1">
      <alignment horizontal="center"/>
    </xf>
    <xf numFmtId="169" fontId="1" fillId="0" borderId="15" xfId="3" applyNumberFormat="1" applyBorder="1" applyAlignment="1">
      <alignment horizontal="center"/>
    </xf>
    <xf numFmtId="4" fontId="1" fillId="0" borderId="6" xfId="3" applyNumberFormat="1" applyBorder="1" applyAlignment="1">
      <alignment horizontal="center"/>
    </xf>
    <xf numFmtId="0" fontId="1" fillId="0" borderId="4" xfId="3" applyBorder="1"/>
    <xf numFmtId="4" fontId="1" fillId="0" borderId="5" xfId="3" applyNumberFormat="1" applyBorder="1" applyAlignment="1">
      <alignment horizontal="center"/>
    </xf>
    <xf numFmtId="172" fontId="1" fillId="0" borderId="8" xfId="3" applyNumberFormat="1" applyBorder="1" applyAlignment="1">
      <alignment horizontal="center"/>
    </xf>
    <xf numFmtId="169" fontId="1" fillId="0" borderId="0" xfId="3" applyNumberFormat="1" applyAlignment="1">
      <alignment horizontal="center"/>
    </xf>
    <xf numFmtId="173" fontId="1" fillId="0" borderId="14" xfId="3" applyNumberFormat="1" applyBorder="1" applyAlignment="1">
      <alignment horizontal="center"/>
    </xf>
    <xf numFmtId="173" fontId="1" fillId="0" borderId="0" xfId="3" applyNumberFormat="1" applyAlignment="1">
      <alignment horizontal="center"/>
    </xf>
    <xf numFmtId="172" fontId="1" fillId="0" borderId="14" xfId="3" applyNumberFormat="1" applyBorder="1" applyAlignment="1">
      <alignment horizontal="center"/>
    </xf>
    <xf numFmtId="11" fontId="1" fillId="0" borderId="15" xfId="3" applyNumberFormat="1" applyBorder="1"/>
    <xf numFmtId="0" fontId="1" fillId="0" borderId="6" xfId="3" applyBorder="1" applyAlignment="1">
      <alignment horizontal="center"/>
    </xf>
    <xf numFmtId="174" fontId="1" fillId="0" borderId="8" xfId="3" applyNumberFormat="1" applyBorder="1" applyAlignment="1">
      <alignment horizontal="center"/>
    </xf>
    <xf numFmtId="175" fontId="1" fillId="0" borderId="8" xfId="3" applyNumberFormat="1" applyBorder="1" applyAlignment="1">
      <alignment horizontal="center"/>
    </xf>
    <xf numFmtId="170" fontId="1" fillId="0" borderId="0" xfId="3" applyNumberFormat="1" applyAlignment="1">
      <alignment horizontal="center"/>
    </xf>
    <xf numFmtId="11" fontId="1" fillId="0" borderId="8" xfId="3" applyNumberFormat="1" applyBorder="1" applyAlignment="1">
      <alignment horizontal="center"/>
    </xf>
    <xf numFmtId="11" fontId="1" fillId="0" borderId="0" xfId="3" applyNumberFormat="1" applyAlignment="1">
      <alignment horizontal="center"/>
    </xf>
    <xf numFmtId="1" fontId="1" fillId="0" borderId="0" xfId="3" applyNumberFormat="1" applyAlignment="1">
      <alignment horizontal="center"/>
    </xf>
    <xf numFmtId="166" fontId="1" fillId="0" borderId="0" xfId="3" applyNumberFormat="1"/>
    <xf numFmtId="0" fontId="2" fillId="0" borderId="13" xfId="3" applyFont="1" applyBorder="1"/>
    <xf numFmtId="0" fontId="1" fillId="0" borderId="2" xfId="3" applyBorder="1"/>
    <xf numFmtId="11" fontId="1" fillId="0" borderId="15" xfId="3" applyNumberFormat="1" applyBorder="1" applyAlignment="1">
      <alignment horizontal="center"/>
    </xf>
    <xf numFmtId="11" fontId="1" fillId="0" borderId="6" xfId="3" applyNumberFormat="1" applyBorder="1" applyAlignment="1">
      <alignment horizontal="center"/>
    </xf>
    <xf numFmtId="0" fontId="1" fillId="0" borderId="6" xfId="3" applyBorder="1"/>
    <xf numFmtId="0" fontId="1" fillId="0" borderId="3" xfId="3" applyBorder="1"/>
    <xf numFmtId="0" fontId="1" fillId="0" borderId="9" xfId="3" applyBorder="1"/>
    <xf numFmtId="0" fontId="1" fillId="0" borderId="13" xfId="3" applyBorder="1"/>
    <xf numFmtId="170" fontId="1" fillId="0" borderId="0" xfId="3" applyNumberFormat="1"/>
    <xf numFmtId="0" fontId="2" fillId="0" borderId="2" xfId="3" applyFont="1" applyBorder="1" applyAlignment="1">
      <alignment horizontal="center"/>
    </xf>
    <xf numFmtId="0" fontId="2" fillId="0" borderId="10" xfId="3" applyFont="1" applyBorder="1"/>
    <xf numFmtId="0" fontId="2" fillId="0" borderId="12" xfId="3" applyFont="1" applyBorder="1"/>
    <xf numFmtId="0" fontId="1" fillId="0" borderId="12" xfId="3" applyBorder="1"/>
    <xf numFmtId="164" fontId="1" fillId="0" borderId="5" xfId="3" applyNumberFormat="1" applyBorder="1"/>
    <xf numFmtId="164" fontId="1" fillId="0" borderId="15" xfId="3" applyNumberFormat="1" applyBorder="1"/>
    <xf numFmtId="0" fontId="1" fillId="0" borderId="14" xfId="3" applyBorder="1" applyAlignment="1">
      <alignment vertical="center"/>
    </xf>
    <xf numFmtId="0" fontId="1" fillId="0" borderId="11" xfId="3" applyBorder="1"/>
    <xf numFmtId="0" fontId="1" fillId="0" borderId="1" xfId="3" applyBorder="1"/>
    <xf numFmtId="10" fontId="1" fillId="0" borderId="14" xfId="3" applyNumberFormat="1" applyBorder="1"/>
    <xf numFmtId="3" fontId="1" fillId="0" borderId="0" xfId="3" applyNumberFormat="1"/>
    <xf numFmtId="176" fontId="1" fillId="0" borderId="0" xfId="3" applyNumberFormat="1"/>
    <xf numFmtId="1" fontId="1" fillId="0" borderId="0" xfId="3" applyNumberFormat="1"/>
    <xf numFmtId="171" fontId="1" fillId="0" borderId="0" xfId="3" applyNumberFormat="1"/>
    <xf numFmtId="0" fontId="13" fillId="0" borderId="0" xfId="0" applyFont="1" applyAlignment="1">
      <alignment vertical="center"/>
    </xf>
    <xf numFmtId="0" fontId="0" fillId="0" borderId="10" xfId="0" applyBorder="1"/>
    <xf numFmtId="0" fontId="0" fillId="0" borderId="11" xfId="0" applyBorder="1"/>
    <xf numFmtId="0" fontId="0" fillId="0" borderId="12" xfId="0" applyBorder="1"/>
    <xf numFmtId="0" fontId="0" fillId="0" borderId="18" xfId="0" applyBorder="1"/>
    <xf numFmtId="177" fontId="0" fillId="0" borderId="18" xfId="0" applyNumberFormat="1" applyBorder="1"/>
    <xf numFmtId="178" fontId="0" fillId="0" borderId="18" xfId="0" applyNumberFormat="1" applyBorder="1"/>
    <xf numFmtId="0" fontId="2" fillId="0" borderId="18" xfId="0" applyFont="1" applyBorder="1"/>
    <xf numFmtId="9" fontId="0" fillId="0" borderId="18" xfId="10" applyFont="1" applyFill="1" applyBorder="1"/>
    <xf numFmtId="0" fontId="14" fillId="0" borderId="18" xfId="0" applyFont="1" applyBorder="1"/>
    <xf numFmtId="0" fontId="14" fillId="0" borderId="0" xfId="0" applyFont="1"/>
    <xf numFmtId="43" fontId="0" fillId="0" borderId="18" xfId="11" applyFont="1" applyBorder="1"/>
    <xf numFmtId="43" fontId="2" fillId="0" borderId="18" xfId="11" applyFont="1" applyBorder="1"/>
    <xf numFmtId="0" fontId="0" fillId="0" borderId="20" xfId="0" applyBorder="1"/>
    <xf numFmtId="0" fontId="0" fillId="3" borderId="19" xfId="0" applyFill="1" applyBorder="1"/>
    <xf numFmtId="0" fontId="14" fillId="0" borderId="20" xfId="0" applyFont="1" applyBorder="1"/>
    <xf numFmtId="0" fontId="0" fillId="4" borderId="19" xfId="0" applyFill="1" applyBorder="1"/>
    <xf numFmtId="43" fontId="0" fillId="0" borderId="20" xfId="11" applyFont="1" applyBorder="1"/>
    <xf numFmtId="0" fontId="0" fillId="0" borderId="21" xfId="0" applyBorder="1"/>
    <xf numFmtId="177" fontId="0" fillId="0" borderId="21" xfId="0" applyNumberFormat="1" applyBorder="1"/>
    <xf numFmtId="177" fontId="0" fillId="0" borderId="20" xfId="0" applyNumberFormat="1" applyBorder="1"/>
    <xf numFmtId="177" fontId="0" fillId="3" borderId="19" xfId="0" applyNumberFormat="1" applyFill="1" applyBorder="1"/>
    <xf numFmtId="178" fontId="0" fillId="0" borderId="20" xfId="0" applyNumberFormat="1" applyBorder="1"/>
    <xf numFmtId="43" fontId="0" fillId="0" borderId="0" xfId="11" applyFont="1"/>
    <xf numFmtId="0" fontId="0" fillId="7" borderId="19" xfId="0" applyFill="1" applyBorder="1"/>
    <xf numFmtId="0" fontId="0" fillId="7" borderId="20" xfId="0" applyFill="1" applyBorder="1"/>
    <xf numFmtId="43" fontId="0" fillId="7" borderId="0" xfId="11" applyFont="1" applyFill="1"/>
    <xf numFmtId="0" fontId="0" fillId="8" borderId="19" xfId="0" applyFill="1" applyBorder="1"/>
    <xf numFmtId="43" fontId="0" fillId="8" borderId="19" xfId="11" applyFont="1" applyFill="1" applyBorder="1"/>
    <xf numFmtId="0" fontId="0" fillId="8" borderId="0" xfId="0" applyFill="1"/>
    <xf numFmtId="43" fontId="0" fillId="8" borderId="0" xfId="11" applyFont="1" applyFill="1"/>
    <xf numFmtId="0" fontId="0" fillId="9" borderId="19" xfId="0" applyFill="1" applyBorder="1"/>
    <xf numFmtId="43" fontId="0" fillId="9" borderId="19" xfId="11" applyFont="1" applyFill="1" applyBorder="1"/>
    <xf numFmtId="0" fontId="0" fillId="10" borderId="0" xfId="0" applyFill="1"/>
    <xf numFmtId="0" fontId="0" fillId="9" borderId="18" xfId="0" applyFill="1" applyBorder="1"/>
    <xf numFmtId="43" fontId="0" fillId="9" borderId="18" xfId="11" applyFont="1" applyFill="1" applyBorder="1"/>
    <xf numFmtId="0" fontId="14" fillId="11" borderId="20" xfId="0" applyFont="1" applyFill="1" applyBorder="1"/>
    <xf numFmtId="0" fontId="0" fillId="11" borderId="0" xfId="0" applyFill="1"/>
    <xf numFmtId="43" fontId="0" fillId="11" borderId="18" xfId="11" applyFont="1" applyFill="1" applyBorder="1"/>
    <xf numFmtId="0" fontId="14" fillId="11" borderId="18" xfId="0" applyFont="1" applyFill="1" applyBorder="1"/>
    <xf numFmtId="0" fontId="14" fillId="12" borderId="20" xfId="0" applyFont="1" applyFill="1" applyBorder="1"/>
    <xf numFmtId="0" fontId="14" fillId="12" borderId="18" xfId="0" applyFont="1" applyFill="1" applyBorder="1"/>
    <xf numFmtId="43" fontId="0" fillId="12" borderId="18" xfId="11" applyFont="1" applyFill="1" applyBorder="1"/>
    <xf numFmtId="0" fontId="14" fillId="13" borderId="20" xfId="0" applyFont="1" applyFill="1" applyBorder="1"/>
    <xf numFmtId="0" fontId="14" fillId="13" borderId="18" xfId="0" applyFont="1" applyFill="1" applyBorder="1"/>
    <xf numFmtId="43" fontId="0" fillId="13" borderId="18" xfId="11" applyFont="1" applyFill="1" applyBorder="1"/>
    <xf numFmtId="0" fontId="0" fillId="5" borderId="19" xfId="0" applyFill="1" applyBorder="1"/>
    <xf numFmtId="9" fontId="14" fillId="14" borderId="0" xfId="10" applyFont="1" applyFill="1"/>
    <xf numFmtId="43" fontId="0" fillId="0" borderId="0" xfId="0" applyNumberFormat="1"/>
    <xf numFmtId="0" fontId="6" fillId="0" borderId="14" xfId="12" applyBorder="1"/>
    <xf numFmtId="0" fontId="6" fillId="0" borderId="22" xfId="12" applyBorder="1"/>
    <xf numFmtId="0" fontId="6" fillId="0" borderId="0" xfId="12"/>
    <xf numFmtId="170" fontId="1" fillId="0" borderId="15" xfId="3" applyNumberFormat="1" applyBorder="1" applyAlignment="1">
      <alignment horizontal="center"/>
    </xf>
    <xf numFmtId="171" fontId="0" fillId="0" borderId="4" xfId="13" applyNumberFormat="1" applyFont="1" applyBorder="1" applyAlignment="1"/>
    <xf numFmtId="171" fontId="0" fillId="0" borderId="0" xfId="13" applyNumberFormat="1" applyFont="1" applyBorder="1" applyAlignment="1"/>
    <xf numFmtId="176" fontId="0" fillId="0" borderId="0" xfId="13" applyNumberFormat="1" applyFont="1" applyBorder="1" applyAlignment="1"/>
    <xf numFmtId="176" fontId="0" fillId="0" borderId="6" xfId="13" applyNumberFormat="1" applyFont="1" applyBorder="1" applyAlignment="1"/>
    <xf numFmtId="11" fontId="1" fillId="0" borderId="4" xfId="3" applyNumberFormat="1" applyBorder="1"/>
    <xf numFmtId="0" fontId="1" fillId="0" borderId="0" xfId="12" applyFont="1"/>
    <xf numFmtId="0" fontId="1" fillId="0" borderId="14" xfId="12" applyFont="1" applyBorder="1"/>
    <xf numFmtId="0" fontId="1" fillId="0" borderId="0" xfId="3" applyAlignment="1">
      <alignment vertical="center"/>
    </xf>
    <xf numFmtId="0" fontId="1" fillId="0" borderId="6" xfId="12" applyFont="1" applyBorder="1"/>
    <xf numFmtId="0" fontId="6" fillId="0" borderId="8" xfId="12" applyBorder="1" applyAlignment="1">
      <alignment horizontal="right"/>
    </xf>
    <xf numFmtId="0" fontId="6" fillId="0" borderId="0" xfId="12" quotePrefix="1"/>
    <xf numFmtId="172" fontId="6" fillId="0" borderId="0" xfId="12" applyNumberFormat="1"/>
    <xf numFmtId="0" fontId="0" fillId="0" borderId="0" xfId="0" applyAlignment="1">
      <alignment vertical="center"/>
    </xf>
    <xf numFmtId="0" fontId="0" fillId="17" borderId="18" xfId="0" applyFill="1" applyBorder="1"/>
    <xf numFmtId="43" fontId="0" fillId="17" borderId="18" xfId="11" applyFont="1" applyFill="1" applyBorder="1"/>
    <xf numFmtId="0" fontId="0" fillId="18" borderId="18" xfId="0" applyFill="1" applyBorder="1"/>
    <xf numFmtId="43" fontId="0" fillId="18" borderId="0" xfId="11" applyFont="1" applyFill="1"/>
    <xf numFmtId="0" fontId="2" fillId="0" borderId="8" xfId="0" applyFont="1" applyBorder="1"/>
    <xf numFmtId="0" fontId="22" fillId="0" borderId="0" xfId="0" applyFont="1"/>
    <xf numFmtId="43" fontId="0" fillId="3" borderId="19" xfId="11" applyFont="1" applyFill="1" applyBorder="1"/>
    <xf numFmtId="0" fontId="2" fillId="19" borderId="0" xfId="0" applyFont="1" applyFill="1"/>
    <xf numFmtId="0" fontId="1" fillId="16" borderId="0" xfId="3" applyFill="1"/>
    <xf numFmtId="43" fontId="12" fillId="15" borderId="23" xfId="11" applyFont="1" applyFill="1" applyBorder="1"/>
    <xf numFmtId="0" fontId="0" fillId="0" borderId="24" xfId="0" applyBorder="1"/>
    <xf numFmtId="0" fontId="20" fillId="0" borderId="0" xfId="0" applyFont="1"/>
    <xf numFmtId="9" fontId="20" fillId="0" borderId="0" xfId="0" applyNumberFormat="1" applyFont="1"/>
    <xf numFmtId="4" fontId="0" fillId="3" borderId="23" xfId="11" applyNumberFormat="1" applyFont="1" applyFill="1" applyBorder="1"/>
    <xf numFmtId="0" fontId="20" fillId="0" borderId="4" xfId="0" applyFont="1" applyBorder="1"/>
    <xf numFmtId="2" fontId="20" fillId="0" borderId="6" xfId="10" applyNumberFormat="1" applyFont="1" applyFill="1" applyBorder="1"/>
    <xf numFmtId="0" fontId="20" fillId="0" borderId="6" xfId="0" applyFont="1" applyBorder="1"/>
    <xf numFmtId="2" fontId="20" fillId="0" borderId="6" xfId="0" applyNumberFormat="1" applyFont="1" applyBorder="1"/>
    <xf numFmtId="4" fontId="17" fillId="19" borderId="19" xfId="11" applyNumberFormat="1" applyFont="1" applyFill="1" applyBorder="1" applyAlignment="1">
      <alignment vertical="center"/>
    </xf>
    <xf numFmtId="0" fontId="14" fillId="19" borderId="23" xfId="0" applyFont="1" applyFill="1" applyBorder="1" applyAlignment="1">
      <alignment horizontal="right" indent="1"/>
    </xf>
    <xf numFmtId="0" fontId="14" fillId="19" borderId="23" xfId="0" applyFont="1" applyFill="1" applyBorder="1" applyAlignment="1">
      <alignment horizontal="right"/>
    </xf>
    <xf numFmtId="0" fontId="23" fillId="0" borderId="0" xfId="0" applyFont="1" applyAlignment="1">
      <alignment vertical="center"/>
    </xf>
    <xf numFmtId="0" fontId="24" fillId="19" borderId="20" xfId="0" applyFont="1" applyFill="1" applyBorder="1"/>
    <xf numFmtId="0" fontId="26" fillId="2" borderId="16" xfId="0" applyFont="1" applyFill="1" applyBorder="1"/>
    <xf numFmtId="0" fontId="26" fillId="2" borderId="11" xfId="0" applyFont="1" applyFill="1" applyBorder="1"/>
    <xf numFmtId="0" fontId="26" fillId="2" borderId="10" xfId="0" applyFont="1" applyFill="1" applyBorder="1"/>
    <xf numFmtId="179" fontId="0" fillId="0" borderId="0" xfId="0" applyNumberFormat="1"/>
    <xf numFmtId="0" fontId="26" fillId="0" borderId="0" xfId="0" applyFont="1"/>
    <xf numFmtId="11" fontId="26" fillId="0" borderId="0" xfId="0" applyNumberFormat="1" applyFont="1"/>
    <xf numFmtId="179" fontId="26" fillId="0" borderId="0" xfId="0" applyNumberFormat="1" applyFont="1"/>
    <xf numFmtId="0" fontId="0" fillId="0" borderId="4" xfId="0" applyBorder="1"/>
    <xf numFmtId="0" fontId="0" fillId="0" borderId="5" xfId="0" applyBorder="1"/>
    <xf numFmtId="0" fontId="0" fillId="0" borderId="8" xfId="0" applyBorder="1"/>
    <xf numFmtId="0" fontId="0" fillId="0" borderId="14" xfId="0" applyBorder="1"/>
    <xf numFmtId="9" fontId="0" fillId="0" borderId="0" xfId="0" applyNumberFormat="1"/>
    <xf numFmtId="0" fontId="0" fillId="0" borderId="8" xfId="0" applyBorder="1" applyAlignment="1">
      <alignment horizontal="left"/>
    </xf>
    <xf numFmtId="3" fontId="0" fillId="0" borderId="0" xfId="0" applyNumberFormat="1"/>
    <xf numFmtId="0" fontId="0" fillId="0" borderId="15" xfId="0" applyBorder="1"/>
    <xf numFmtId="0" fontId="0" fillId="0" borderId="6" xfId="0" applyBorder="1"/>
    <xf numFmtId="0" fontId="0" fillId="0" borderId="7" xfId="0" applyBorder="1"/>
    <xf numFmtId="0" fontId="0" fillId="0" borderId="13" xfId="0" applyBorder="1"/>
    <xf numFmtId="0" fontId="21" fillId="0" borderId="0" xfId="14"/>
    <xf numFmtId="0" fontId="21" fillId="0" borderId="0" xfId="14" applyBorder="1"/>
    <xf numFmtId="0" fontId="21" fillId="0" borderId="4" xfId="14" applyBorder="1"/>
    <xf numFmtId="0" fontId="30" fillId="0" borderId="0" xfId="0" applyFont="1"/>
    <xf numFmtId="0" fontId="31" fillId="4" borderId="19" xfId="0" applyFont="1" applyFill="1" applyBorder="1"/>
    <xf numFmtId="0" fontId="32" fillId="4" borderId="19" xfId="0" applyFont="1" applyFill="1" applyBorder="1"/>
    <xf numFmtId="43" fontId="33" fillId="4" borderId="18" xfId="11" applyFont="1" applyFill="1" applyBorder="1"/>
    <xf numFmtId="0" fontId="26" fillId="2" borderId="12" xfId="0" applyFont="1" applyFill="1" applyBorder="1"/>
    <xf numFmtId="0" fontId="0" fillId="19" borderId="11" xfId="0" applyFill="1" applyBorder="1"/>
    <xf numFmtId="3" fontId="0" fillId="19" borderId="11" xfId="0" applyNumberFormat="1" applyFill="1" applyBorder="1"/>
    <xf numFmtId="0" fontId="0" fillId="19" borderId="6" xfId="0" applyFill="1" applyBorder="1"/>
    <xf numFmtId="0" fontId="20" fillId="19" borderId="6" xfId="0" applyFont="1" applyFill="1" applyBorder="1"/>
    <xf numFmtId="0" fontId="0" fillId="19" borderId="13" xfId="0" applyFill="1" applyBorder="1"/>
    <xf numFmtId="0" fontId="26" fillId="6" borderId="25" xfId="0" applyFont="1" applyFill="1" applyBorder="1" applyAlignment="1">
      <alignment vertical="center" wrapText="1"/>
    </xf>
    <xf numFmtId="0" fontId="26" fillId="6" borderId="25" xfId="0" applyFont="1" applyFill="1" applyBorder="1" applyAlignment="1">
      <alignment horizontal="center" vertical="center" wrapText="1"/>
    </xf>
    <xf numFmtId="0" fontId="27" fillId="6" borderId="25" xfId="0" applyFont="1" applyFill="1" applyBorder="1" applyAlignment="1">
      <alignment horizontal="center" vertical="center" wrapText="1"/>
    </xf>
    <xf numFmtId="0" fontId="27" fillId="6" borderId="25" xfId="0" applyFont="1" applyFill="1" applyBorder="1" applyAlignment="1">
      <alignment horizontal="center" vertical="center"/>
    </xf>
    <xf numFmtId="0" fontId="27" fillId="6" borderId="25" xfId="0" applyFont="1" applyFill="1" applyBorder="1" applyAlignment="1">
      <alignment vertical="center"/>
    </xf>
    <xf numFmtId="0" fontId="27" fillId="6" borderId="25" xfId="0" applyFont="1" applyFill="1" applyBorder="1" applyAlignment="1">
      <alignment vertical="center" wrapText="1"/>
    </xf>
    <xf numFmtId="0" fontId="26" fillId="2" borderId="25" xfId="0" applyFont="1" applyFill="1" applyBorder="1" applyAlignment="1">
      <alignment vertical="center" wrapText="1"/>
    </xf>
    <xf numFmtId="0" fontId="26" fillId="2" borderId="25" xfId="0" applyFont="1" applyFill="1" applyBorder="1" applyAlignment="1">
      <alignment horizontal="center" vertical="center" wrapText="1"/>
    </xf>
    <xf numFmtId="0" fontId="26" fillId="2" borderId="25" xfId="0" applyFont="1" applyFill="1" applyBorder="1"/>
    <xf numFmtId="11" fontId="26" fillId="2" borderId="25" xfId="0" applyNumberFormat="1" applyFont="1" applyFill="1" applyBorder="1"/>
    <xf numFmtId="11" fontId="26" fillId="19" borderId="25" xfId="0" applyNumberFormat="1" applyFont="1" applyFill="1" applyBorder="1"/>
    <xf numFmtId="173" fontId="26" fillId="19" borderId="25" xfId="11" applyNumberFormat="1" applyFont="1" applyFill="1" applyBorder="1"/>
    <xf numFmtId="173" fontId="0" fillId="19" borderId="25" xfId="11" applyNumberFormat="1" applyFont="1" applyFill="1" applyBorder="1"/>
    <xf numFmtId="173" fontId="20" fillId="19" borderId="25" xfId="11" applyNumberFormat="1" applyFont="1" applyFill="1" applyBorder="1"/>
    <xf numFmtId="179" fontId="26" fillId="2" borderId="25" xfId="0" applyNumberFormat="1" applyFont="1" applyFill="1" applyBorder="1" applyAlignment="1">
      <alignment horizontal="center" vertical="center" wrapText="1"/>
    </xf>
    <xf numFmtId="179" fontId="26" fillId="19" borderId="25" xfId="11" applyNumberFormat="1" applyFont="1" applyFill="1" applyBorder="1"/>
    <xf numFmtId="0" fontId="27" fillId="2" borderId="25" xfId="0" applyFont="1" applyFill="1" applyBorder="1" applyAlignment="1">
      <alignment horizontal="center" vertical="center"/>
    </xf>
    <xf numFmtId="179" fontId="27" fillId="2" borderId="25" xfId="0" applyNumberFormat="1" applyFont="1" applyFill="1" applyBorder="1" applyAlignment="1">
      <alignment horizontal="center" vertical="center"/>
    </xf>
    <xf numFmtId="0" fontId="27" fillId="2" borderId="25" xfId="0" applyFont="1" applyFill="1" applyBorder="1" applyAlignment="1">
      <alignment vertical="center"/>
    </xf>
    <xf numFmtId="0" fontId="0" fillId="0" borderId="25" xfId="0" applyBorder="1"/>
    <xf numFmtId="0" fontId="29" fillId="2" borderId="25" xfId="0" applyFont="1" applyFill="1" applyBorder="1"/>
    <xf numFmtId="43" fontId="26" fillId="19" borderId="25" xfId="11" applyFont="1" applyFill="1" applyBorder="1"/>
    <xf numFmtId="3" fontId="0" fillId="19" borderId="25" xfId="0" applyNumberFormat="1" applyFill="1" applyBorder="1"/>
    <xf numFmtId="4" fontId="26" fillId="19" borderId="25" xfId="11" applyNumberFormat="1" applyFont="1" applyFill="1" applyBorder="1"/>
    <xf numFmtId="0" fontId="20" fillId="0" borderId="15" xfId="0" applyFont="1" applyBorder="1"/>
    <xf numFmtId="0" fontId="20" fillId="0" borderId="8" xfId="0" applyFont="1" applyBorder="1"/>
    <xf numFmtId="0" fontId="13" fillId="3" borderId="26" xfId="0" applyFont="1" applyFill="1" applyBorder="1"/>
    <xf numFmtId="0" fontId="0" fillId="3" borderId="27" xfId="0" applyFill="1" applyBorder="1"/>
    <xf numFmtId="0" fontId="0" fillId="3" borderId="28" xfId="0" applyFill="1" applyBorder="1"/>
    <xf numFmtId="0" fontId="13" fillId="3" borderId="29" xfId="0" applyFont="1" applyFill="1" applyBorder="1"/>
    <xf numFmtId="0" fontId="13" fillId="3" borderId="30" xfId="0" applyFont="1" applyFill="1" applyBorder="1"/>
    <xf numFmtId="179" fontId="13" fillId="3" borderId="30" xfId="0" applyNumberFormat="1" applyFont="1" applyFill="1" applyBorder="1"/>
    <xf numFmtId="0" fontId="13" fillId="3" borderId="31" xfId="0" applyFont="1" applyFill="1" applyBorder="1"/>
    <xf numFmtId="0" fontId="4" fillId="3" borderId="0" xfId="3" applyFont="1" applyFill="1"/>
    <xf numFmtId="0" fontId="1" fillId="3" borderId="0" xfId="3" applyFill="1"/>
    <xf numFmtId="10" fontId="1" fillId="0" borderId="0" xfId="3" applyNumberFormat="1"/>
    <xf numFmtId="9" fontId="1" fillId="0" borderId="0" xfId="3" applyNumberFormat="1"/>
    <xf numFmtId="0" fontId="6" fillId="0" borderId="15" xfId="12" applyBorder="1" applyAlignment="1">
      <alignment horizontal="right"/>
    </xf>
    <xf numFmtId="0" fontId="1" fillId="0" borderId="10" xfId="3" applyBorder="1"/>
    <xf numFmtId="0" fontId="25" fillId="0" borderId="0" xfId="0" applyFont="1"/>
    <xf numFmtId="0" fontId="34" fillId="0" borderId="17" xfId="0" applyFont="1" applyBorder="1"/>
    <xf numFmtId="0" fontId="0" fillId="0" borderId="0" xfId="0" applyAlignment="1">
      <alignment wrapText="1"/>
    </xf>
    <xf numFmtId="0" fontId="19" fillId="3" borderId="19" xfId="0" applyFont="1" applyFill="1" applyBorder="1" applyAlignment="1">
      <alignment vertical="center"/>
    </xf>
    <xf numFmtId="0" fontId="0" fillId="3" borderId="19" xfId="0" applyFill="1" applyBorder="1" applyAlignment="1">
      <alignment vertical="center"/>
    </xf>
    <xf numFmtId="0" fontId="19" fillId="3" borderId="19" xfId="0" applyFont="1" applyFill="1" applyBorder="1" applyAlignment="1">
      <alignment vertical="center" wrapText="1"/>
    </xf>
    <xf numFmtId="0" fontId="15" fillId="3" borderId="19" xfId="0" applyFont="1" applyFill="1" applyBorder="1" applyAlignment="1">
      <alignment vertical="center"/>
    </xf>
    <xf numFmtId="0" fontId="34" fillId="0" borderId="0" xfId="0" applyFont="1"/>
    <xf numFmtId="0" fontId="0" fillId="14" borderId="18" xfId="0" applyFill="1" applyBorder="1"/>
    <xf numFmtId="169" fontId="0" fillId="14" borderId="18" xfId="11" applyNumberFormat="1" applyFont="1" applyFill="1" applyBorder="1"/>
    <xf numFmtId="169" fontId="0" fillId="14" borderId="20" xfId="11" applyNumberFormat="1" applyFont="1" applyFill="1" applyBorder="1"/>
    <xf numFmtId="9" fontId="0" fillId="14" borderId="17" xfId="10" applyFont="1" applyFill="1" applyBorder="1"/>
    <xf numFmtId="0" fontId="0" fillId="14" borderId="20" xfId="0" applyFill="1" applyBorder="1" applyAlignment="1">
      <alignment wrapText="1"/>
    </xf>
    <xf numFmtId="0" fontId="0" fillId="14" borderId="18" xfId="0" applyFill="1" applyBorder="1" applyAlignment="1">
      <alignment wrapText="1"/>
    </xf>
    <xf numFmtId="0" fontId="14" fillId="19" borderId="23" xfId="0" applyFont="1" applyFill="1" applyBorder="1" applyAlignment="1">
      <alignment horizontal="center"/>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cellXfs>
  <cellStyles count="15">
    <cellStyle name="Comma" xfId="11" builtinId="3"/>
    <cellStyle name="Comma 2" xfId="5" xr:uid="{D2147C71-D3BF-46A3-B17D-507F3936A82C}"/>
    <cellStyle name="Comma 2 2" xfId="8" xr:uid="{55AED590-FA43-4065-9191-B70957460DA4}"/>
    <cellStyle name="Comma 2 2 2" xfId="13" xr:uid="{DC4F64A3-10EC-4FB5-B5E5-109186943512}"/>
    <cellStyle name="Hyperlink" xfId="14" builtinId="8"/>
    <cellStyle name="Normal" xfId="0" builtinId="0"/>
    <cellStyle name="Normal 2" xfId="1" xr:uid="{B03256FD-CFA3-423B-88D9-9E1BA72998AC}"/>
    <cellStyle name="Normal 2 2" xfId="2" xr:uid="{8B3369A0-A49C-465F-8554-D0B488A48281}"/>
    <cellStyle name="Normal 2 2 2" xfId="3" xr:uid="{5A17DB7A-5C8A-487E-BBA3-47313F778D26}"/>
    <cellStyle name="Normal 2 3" xfId="7" xr:uid="{7EE4EAE6-0136-4815-8121-1B9D87EFAF14}"/>
    <cellStyle name="Normal 2 4" xfId="12" xr:uid="{88F57D91-A9CF-48FF-8319-F878082D6DAE}"/>
    <cellStyle name="Normal 4" xfId="4" xr:uid="{F9CDE6FC-6178-48D5-9939-2BD0EB1820B6}"/>
    <cellStyle name="Percent" xfId="10" builtinId="5"/>
    <cellStyle name="Percent 2" xfId="9" xr:uid="{DD40D62D-3E77-4ADB-9DF5-CBBBAFCAFC04}"/>
    <cellStyle name="Percent 3" xfId="6" xr:uid="{CDEA1E1C-2833-4040-A5EC-B01B7788B039}"/>
  </cellStyles>
  <dxfs count="29">
    <dxf>
      <font>
        <strike val="0"/>
        <outline val="0"/>
        <shadow val="0"/>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0" tint="-0.14999847407452621"/>
        </patternFill>
      </fill>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8" tint="0.79998168889431442"/>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5" formatCode="0.00E+00"/>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medium">
          <color indexed="64"/>
        </left>
        <right style="thin">
          <color indexed="64"/>
        </right>
        <top style="thin">
          <color indexed="64"/>
        </top>
        <bottom style="thin">
          <color indexed="64"/>
        </bottom>
      </border>
    </dxf>
    <dxf>
      <font>
        <strike val="0"/>
        <outline val="0"/>
        <shadow val="0"/>
        <name val="Calibri"/>
        <family val="2"/>
        <scheme val="minor"/>
      </font>
    </dxf>
    <dxf>
      <font>
        <strike val="0"/>
        <outline val="0"/>
        <shadow val="0"/>
        <name val="Calibri"/>
        <family val="2"/>
        <scheme val="minor"/>
      </font>
      <fill>
        <patternFill>
          <fgColor indexed="64"/>
          <bgColor theme="0" tint="-0.34998626667073579"/>
        </patternFill>
      </fill>
    </dxf>
    <dxf>
      <font>
        <b val="0"/>
        <i/>
        <color theme="0" tint="-0.34998626667073579"/>
      </font>
      <fill>
        <patternFill patternType="none">
          <bgColor auto="1"/>
        </patternFill>
      </fill>
    </dxf>
    <dxf>
      <font>
        <color theme="6"/>
      </font>
      <fill>
        <patternFill>
          <bgColor theme="6"/>
        </patternFill>
      </fill>
    </dxf>
    <dxf>
      <font>
        <color auto="1"/>
      </font>
      <fill>
        <patternFill>
          <bgColor rgb="FFFF8181"/>
        </patternFill>
      </fill>
    </dxf>
    <dxf>
      <font>
        <color auto="1"/>
      </font>
      <fill>
        <patternFill>
          <bgColor theme="6" tint="-9.9948118533890809E-2"/>
        </patternFill>
      </fill>
    </dxf>
    <dxf>
      <font>
        <color auto="1"/>
      </font>
      <fill>
        <patternFill>
          <bgColor theme="8"/>
        </patternFill>
      </fill>
    </dxf>
    <dxf>
      <font>
        <color theme="6"/>
      </font>
      <fill>
        <patternFill>
          <bgColor theme="6"/>
        </patternFill>
      </fill>
    </dxf>
    <dxf>
      <font>
        <color auto="1"/>
      </font>
      <fill>
        <patternFill>
          <bgColor theme="0"/>
        </patternFill>
      </fill>
    </dxf>
    <dxf>
      <font>
        <color auto="1"/>
      </font>
      <fill>
        <patternFill>
          <bgColor theme="0"/>
        </patternFill>
      </fill>
    </dxf>
  </dxfs>
  <tableStyles count="0" defaultTableStyle="TableStyleMedium2" defaultPivotStyle="PivotStyleLight16"/>
  <colors>
    <mruColors>
      <color rgb="FFFF8181"/>
      <color rgb="FFD8A588"/>
      <color rgb="FFFFCC99"/>
      <color rgb="FFFFFF99"/>
      <color rgb="FFFFFFCC"/>
      <color rgb="FFC7E1B4"/>
      <color rgb="FFCCCCFF"/>
      <color rgb="FFFFBDBD"/>
      <color rgb="FFFFD9D9"/>
      <color rgb="FFE7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kg</a:t>
            </a:r>
            <a:r>
              <a:rPr lang="en-US" baseline="0"/>
              <a:t> GHG (CO2e) per ton of CO2 produced (for the market)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'45Q Calculations'!$O$3</c:f>
              <c:strCache>
                <c:ptCount val="1"/>
                <c:pt idx="0">
                  <c:v>Material inputs (CO2 upstream)</c:v>
                </c:pt>
              </c:strCache>
            </c:strRef>
          </c:tx>
          <c:spPr>
            <a:solidFill>
              <a:schemeClr val="accent1">
                <a:lumMod val="40000"/>
                <a:lumOff val="60000"/>
              </a:schemeClr>
            </a:solidFill>
            <a:ln>
              <a:noFill/>
            </a:ln>
            <a:effectLst/>
          </c:spPr>
          <c:invertIfNegative val="0"/>
          <c:cat>
            <c:strRef>
              <c:f>'45Q Calculations'!$P$2:$Q$2</c:f>
              <c:strCache>
                <c:ptCount val="2"/>
                <c:pt idx="0">
                  <c:v>Market Mix</c:v>
                </c:pt>
                <c:pt idx="1">
                  <c:v>This process</c:v>
                </c:pt>
              </c:strCache>
            </c:strRef>
          </c:cat>
          <c:val>
            <c:numRef>
              <c:f>'45Q Calculations'!$P$3:$Q$3</c:f>
              <c:numCache>
                <c:formatCode>_(* #,##0.00_);_(* \(#,##0.00\);_(* "-"??_);_(@_)</c:formatCode>
                <c:ptCount val="2"/>
                <c:pt idx="0">
                  <c:v>199.5</c:v>
                </c:pt>
                <c:pt idx="1">
                  <c:v>0</c:v>
                </c:pt>
              </c:numCache>
            </c:numRef>
          </c:val>
          <c:extLst>
            <c:ext xmlns:c16="http://schemas.microsoft.com/office/drawing/2014/chart" uri="{C3380CC4-5D6E-409C-BE32-E72D297353CC}">
              <c16:uniqueId val="{00000000-890D-431D-95D3-DA9A5A8803EF}"/>
            </c:ext>
          </c:extLst>
        </c:ser>
        <c:ser>
          <c:idx val="1"/>
          <c:order val="1"/>
          <c:tx>
            <c:strRef>
              <c:f>'45Q Calculations'!$O$4</c:f>
              <c:strCache>
                <c:ptCount val="1"/>
                <c:pt idx="0">
                  <c:v>Preparation</c:v>
                </c:pt>
              </c:strCache>
            </c:strRef>
          </c:tx>
          <c:spPr>
            <a:solidFill>
              <a:srgbClr val="FFBDBD"/>
            </a:solidFill>
            <a:ln>
              <a:noFill/>
            </a:ln>
            <a:effectLst/>
          </c:spPr>
          <c:invertIfNegative val="0"/>
          <c:cat>
            <c:strRef>
              <c:f>'45Q Calculations'!$P$2:$Q$2</c:f>
              <c:strCache>
                <c:ptCount val="2"/>
                <c:pt idx="0">
                  <c:v>Market Mix</c:v>
                </c:pt>
                <c:pt idx="1">
                  <c:v>This process</c:v>
                </c:pt>
              </c:strCache>
            </c:strRef>
          </c:cat>
          <c:val>
            <c:numRef>
              <c:f>'45Q Calculations'!$P$4:$Q$4</c:f>
              <c:numCache>
                <c:formatCode>_(* #,##0.00_);_(* \(#,##0.00\);_(* "-"??_);_(@_)</c:formatCode>
                <c:ptCount val="2"/>
                <c:pt idx="0">
                  <c:v>97.568747040000019</c:v>
                </c:pt>
                <c:pt idx="1">
                  <c:v>0</c:v>
                </c:pt>
              </c:numCache>
            </c:numRef>
          </c:val>
          <c:extLst>
            <c:ext xmlns:c16="http://schemas.microsoft.com/office/drawing/2014/chart" uri="{C3380CC4-5D6E-409C-BE32-E72D297353CC}">
              <c16:uniqueId val="{00000001-890D-431D-95D3-DA9A5A8803EF}"/>
            </c:ext>
          </c:extLst>
        </c:ser>
        <c:ser>
          <c:idx val="2"/>
          <c:order val="2"/>
          <c:tx>
            <c:strRef>
              <c:f>'45Q Calculations'!$O$5</c:f>
              <c:strCache>
                <c:ptCount val="1"/>
                <c:pt idx="0">
                  <c:v>Purification</c:v>
                </c:pt>
              </c:strCache>
            </c:strRef>
          </c:tx>
          <c:spPr>
            <a:solidFill>
              <a:srgbClr val="CCCCFF"/>
            </a:solidFill>
            <a:ln>
              <a:noFill/>
            </a:ln>
            <a:effectLst/>
          </c:spPr>
          <c:invertIfNegative val="0"/>
          <c:cat>
            <c:strRef>
              <c:f>'45Q Calculations'!$P$2:$Q$2</c:f>
              <c:strCache>
                <c:ptCount val="2"/>
                <c:pt idx="0">
                  <c:v>Market Mix</c:v>
                </c:pt>
                <c:pt idx="1">
                  <c:v>This process</c:v>
                </c:pt>
              </c:strCache>
            </c:strRef>
          </c:cat>
          <c:val>
            <c:numRef>
              <c:f>'45Q Calculations'!$P$5:$Q$5</c:f>
              <c:numCache>
                <c:formatCode>_(* #,##0.00_);_(* \(#,##0.00\);_(* "-"??_);_(@_)</c:formatCode>
                <c:ptCount val="2"/>
                <c:pt idx="0">
                  <c:v>175.09588109335101</c:v>
                </c:pt>
                <c:pt idx="1">
                  <c:v>0</c:v>
                </c:pt>
              </c:numCache>
            </c:numRef>
          </c:val>
          <c:extLst>
            <c:ext xmlns:c16="http://schemas.microsoft.com/office/drawing/2014/chart" uri="{C3380CC4-5D6E-409C-BE32-E72D297353CC}">
              <c16:uniqueId val="{00000002-890D-431D-95D3-DA9A5A8803EF}"/>
            </c:ext>
          </c:extLst>
        </c:ser>
        <c:ser>
          <c:idx val="3"/>
          <c:order val="3"/>
          <c:tx>
            <c:strRef>
              <c:f>'45Q Calculations'!$O$6</c:f>
              <c:strCache>
                <c:ptCount val="1"/>
                <c:pt idx="0">
                  <c:v>Liquefaction</c:v>
                </c:pt>
              </c:strCache>
            </c:strRef>
          </c:tx>
          <c:spPr>
            <a:solidFill>
              <a:srgbClr val="C7E1B4"/>
            </a:solidFill>
            <a:ln>
              <a:noFill/>
            </a:ln>
            <a:effectLst/>
          </c:spPr>
          <c:invertIfNegative val="0"/>
          <c:cat>
            <c:strRef>
              <c:f>'45Q Calculations'!$P$2:$Q$2</c:f>
              <c:strCache>
                <c:ptCount val="2"/>
                <c:pt idx="0">
                  <c:v>Market Mix</c:v>
                </c:pt>
                <c:pt idx="1">
                  <c:v>This process</c:v>
                </c:pt>
              </c:strCache>
            </c:strRef>
          </c:cat>
          <c:val>
            <c:numRef>
              <c:f>'45Q Calculations'!$P$6:$Q$6</c:f>
              <c:numCache>
                <c:formatCode>_(* #,##0.00_);_(* \(#,##0.00\);_(* "-"??_);_(@_)</c:formatCode>
                <c:ptCount val="2"/>
                <c:pt idx="0">
                  <c:v>43.357680000000002</c:v>
                </c:pt>
                <c:pt idx="1">
                  <c:v>0</c:v>
                </c:pt>
              </c:numCache>
            </c:numRef>
          </c:val>
          <c:extLst>
            <c:ext xmlns:c16="http://schemas.microsoft.com/office/drawing/2014/chart" uri="{C3380CC4-5D6E-409C-BE32-E72D297353CC}">
              <c16:uniqueId val="{00000003-890D-431D-95D3-DA9A5A8803EF}"/>
            </c:ext>
          </c:extLst>
        </c:ser>
        <c:ser>
          <c:idx val="4"/>
          <c:order val="4"/>
          <c:tx>
            <c:strRef>
              <c:f>'45Q Calculations'!$O$7</c:f>
              <c:strCache>
                <c:ptCount val="1"/>
                <c:pt idx="0">
                  <c:v>Losses</c:v>
                </c:pt>
              </c:strCache>
            </c:strRef>
          </c:tx>
          <c:spPr>
            <a:solidFill>
              <a:schemeClr val="accent5"/>
            </a:solidFill>
            <a:ln>
              <a:noFill/>
            </a:ln>
            <a:effectLst/>
          </c:spPr>
          <c:invertIfNegative val="0"/>
          <c:cat>
            <c:strRef>
              <c:f>'45Q Calculations'!$P$2:$Q$2</c:f>
              <c:strCache>
                <c:ptCount val="2"/>
                <c:pt idx="0">
                  <c:v>Market Mix</c:v>
                </c:pt>
                <c:pt idx="1">
                  <c:v>This process</c:v>
                </c:pt>
              </c:strCache>
            </c:strRef>
          </c:cat>
          <c:val>
            <c:numRef>
              <c:f>'45Q Calculations'!$P$7:$Q$7</c:f>
              <c:numCache>
                <c:formatCode>_(* #,##0.00_);_(* \(#,##0.00\);_(* "-"??_);_(@_)</c:formatCode>
                <c:ptCount val="2"/>
                <c:pt idx="0">
                  <c:v>5</c:v>
                </c:pt>
              </c:numCache>
            </c:numRef>
          </c:val>
          <c:extLst>
            <c:ext xmlns:c16="http://schemas.microsoft.com/office/drawing/2014/chart" uri="{C3380CC4-5D6E-409C-BE32-E72D297353CC}">
              <c16:uniqueId val="{00000004-890D-431D-95D3-DA9A5A8803EF}"/>
            </c:ext>
          </c:extLst>
        </c:ser>
        <c:ser>
          <c:idx val="5"/>
          <c:order val="5"/>
          <c:tx>
            <c:strRef>
              <c:f>'45Q Calculations'!$O$8</c:f>
              <c:strCache>
                <c:ptCount val="1"/>
                <c:pt idx="0">
                  <c:v>End of Life - Fossil</c:v>
                </c:pt>
              </c:strCache>
            </c:strRef>
          </c:tx>
          <c:spPr>
            <a:solidFill>
              <a:srgbClr val="FFCC99"/>
            </a:solidFill>
            <a:ln>
              <a:noFill/>
            </a:ln>
            <a:effectLst/>
          </c:spPr>
          <c:invertIfNegative val="0"/>
          <c:cat>
            <c:strRef>
              <c:f>'45Q Calculations'!$P$2:$Q$2</c:f>
              <c:strCache>
                <c:ptCount val="2"/>
                <c:pt idx="0">
                  <c:v>Market Mix</c:v>
                </c:pt>
                <c:pt idx="1">
                  <c:v>This process</c:v>
                </c:pt>
              </c:strCache>
            </c:strRef>
          </c:cat>
          <c:val>
            <c:numRef>
              <c:f>'45Q Calculations'!$P$8:$Q$8</c:f>
              <c:numCache>
                <c:formatCode>_(* #,##0.00_);_(* \(#,##0.00\);_(* "-"??_);_(@_)</c:formatCode>
                <c:ptCount val="2"/>
                <c:pt idx="0">
                  <c:v>600</c:v>
                </c:pt>
                <c:pt idx="1">
                  <c:v>1000</c:v>
                </c:pt>
              </c:numCache>
            </c:numRef>
          </c:val>
          <c:extLst>
            <c:ext xmlns:c16="http://schemas.microsoft.com/office/drawing/2014/chart" uri="{C3380CC4-5D6E-409C-BE32-E72D297353CC}">
              <c16:uniqueId val="{00000005-890D-431D-95D3-DA9A5A8803EF}"/>
            </c:ext>
          </c:extLst>
        </c:ser>
        <c:ser>
          <c:idx val="6"/>
          <c:order val="6"/>
          <c:tx>
            <c:strRef>
              <c:f>'45Q Calculations'!$O$9</c:f>
              <c:strCache>
                <c:ptCount val="1"/>
                <c:pt idx="0">
                  <c:v>End of Life - Biogenic</c:v>
                </c:pt>
              </c:strCache>
            </c:strRef>
          </c:tx>
          <c:spPr>
            <a:solidFill>
              <a:srgbClr val="D8A588"/>
            </a:solidFill>
            <a:ln>
              <a:noFill/>
            </a:ln>
            <a:effectLst/>
          </c:spPr>
          <c:invertIfNegative val="0"/>
          <c:cat>
            <c:strRef>
              <c:f>'45Q Calculations'!$P$2:$Q$2</c:f>
              <c:strCache>
                <c:ptCount val="2"/>
                <c:pt idx="0">
                  <c:v>Market Mix</c:v>
                </c:pt>
                <c:pt idx="1">
                  <c:v>This process</c:v>
                </c:pt>
              </c:strCache>
            </c:strRef>
          </c:cat>
          <c:val>
            <c:numRef>
              <c:f>'45Q Calculations'!$P$9:$Q$9</c:f>
              <c:numCache>
                <c:formatCode>_(* #,##0.00_);_(* \(#,##0.00\);_(* "-"??_);_(@_)</c:formatCode>
                <c:ptCount val="2"/>
                <c:pt idx="0">
                  <c:v>400</c:v>
                </c:pt>
                <c:pt idx="1">
                  <c:v>0</c:v>
                </c:pt>
              </c:numCache>
            </c:numRef>
          </c:val>
          <c:extLst>
            <c:ext xmlns:c16="http://schemas.microsoft.com/office/drawing/2014/chart" uri="{C3380CC4-5D6E-409C-BE32-E72D297353CC}">
              <c16:uniqueId val="{00000006-890D-431D-95D3-DA9A5A8803EF}"/>
            </c:ext>
          </c:extLst>
        </c:ser>
        <c:dLbls>
          <c:showLegendKey val="0"/>
          <c:showVal val="0"/>
          <c:showCatName val="0"/>
          <c:showSerName val="0"/>
          <c:showPercent val="0"/>
          <c:showBubbleSize val="0"/>
        </c:dLbls>
        <c:gapWidth val="150"/>
        <c:overlap val="100"/>
        <c:axId val="1077581200"/>
        <c:axId val="1192483952"/>
      </c:barChart>
      <c:catAx>
        <c:axId val="1077581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2483952"/>
        <c:crosses val="autoZero"/>
        <c:auto val="1"/>
        <c:lblAlgn val="ctr"/>
        <c:lblOffset val="100"/>
        <c:noMultiLvlLbl val="0"/>
      </c:catAx>
      <c:valAx>
        <c:axId val="1192483952"/>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58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218282</xdr:colOff>
      <xdr:row>1</xdr:row>
      <xdr:rowOff>174276</xdr:rowOff>
    </xdr:to>
    <xdr:sp macro="" textlink="">
      <xdr:nvSpPr>
        <xdr:cNvPr id="380" name="Rectangle 1">
          <a:extLst>
            <a:ext uri="{FF2B5EF4-FFF2-40B4-BE49-F238E27FC236}">
              <a16:creationId xmlns:a16="http://schemas.microsoft.com/office/drawing/2014/main" id="{68CAB365-3F0A-8240-801D-E050B01D1EF8}"/>
            </a:ext>
          </a:extLst>
        </xdr:cNvPr>
        <xdr:cNvSpPr/>
      </xdr:nvSpPr>
      <xdr:spPr>
        <a:xfrm>
          <a:off x="0" y="0"/>
          <a:ext cx="13533438" cy="362792"/>
        </a:xfrm>
        <a:prstGeom prst="rect">
          <a:avLst/>
        </a:prstGeom>
        <a:gradFill flip="none" rotWithShape="1">
          <a:gsLst>
            <a:gs pos="0">
              <a:schemeClr val="accent2"/>
            </a:gs>
            <a:gs pos="100000">
              <a:schemeClr val="bg2"/>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6</xdr:row>
      <xdr:rowOff>137846</xdr:rowOff>
    </xdr:from>
    <xdr:to>
      <xdr:col>22</xdr:col>
      <xdr:colOff>231357</xdr:colOff>
      <xdr:row>36</xdr:row>
      <xdr:rowOff>55261</xdr:rowOff>
    </xdr:to>
    <xdr:pic>
      <xdr:nvPicPr>
        <xdr:cNvPr id="378" name="Picture 3">
          <a:extLst>
            <a:ext uri="{FF2B5EF4-FFF2-40B4-BE49-F238E27FC236}">
              <a16:creationId xmlns:a16="http://schemas.microsoft.com/office/drawing/2014/main" id="{12286604-C0F2-C940-824D-5732BA8FAAB1}"/>
            </a:ext>
            <a:ext uri="{147F2762-F138-4A5C-976F-8EAC2B608ADB}">
              <a16:predDERef xmlns:a16="http://schemas.microsoft.com/office/drawing/2014/main" pred="{68CAB365-3F0A-8240-801D-E050B01D1EF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0" y="1280846"/>
          <a:ext cx="13642557" cy="5851490"/>
        </a:xfrm>
        <a:prstGeom prst="rect">
          <a:avLst/>
        </a:prstGeom>
      </xdr:spPr>
    </xdr:pic>
    <xdr:clientData/>
  </xdr:twoCellAnchor>
  <xdr:twoCellAnchor editAs="oneCell">
    <xdr:from>
      <xdr:col>16</xdr:col>
      <xdr:colOff>487670</xdr:colOff>
      <xdr:row>2</xdr:row>
      <xdr:rowOff>183048</xdr:rowOff>
    </xdr:from>
    <xdr:to>
      <xdr:col>22</xdr:col>
      <xdr:colOff>182630</xdr:colOff>
      <xdr:row>5</xdr:row>
      <xdr:rowOff>118453</xdr:rowOff>
    </xdr:to>
    <xdr:pic>
      <xdr:nvPicPr>
        <xdr:cNvPr id="383" name="Graphic 4">
          <a:extLst>
            <a:ext uri="{FF2B5EF4-FFF2-40B4-BE49-F238E27FC236}">
              <a16:creationId xmlns:a16="http://schemas.microsoft.com/office/drawing/2014/main" id="{F9536DF1-64C9-F448-805F-04C2761CE8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171420" y="560079"/>
          <a:ext cx="3326366" cy="500952"/>
        </a:xfrm>
        <a:prstGeom prst="rect">
          <a:avLst/>
        </a:prstGeom>
      </xdr:spPr>
    </xdr:pic>
    <xdr:clientData/>
  </xdr:twoCellAnchor>
  <xdr:twoCellAnchor>
    <xdr:from>
      <xdr:col>0</xdr:col>
      <xdr:colOff>237331</xdr:colOff>
      <xdr:row>37</xdr:row>
      <xdr:rowOff>45906</xdr:rowOff>
    </xdr:from>
    <xdr:to>
      <xdr:col>20</xdr:col>
      <xdr:colOff>361156</xdr:colOff>
      <xdr:row>64</xdr:row>
      <xdr:rowOff>130979</xdr:rowOff>
    </xdr:to>
    <xdr:sp macro="" textlink="">
      <xdr:nvSpPr>
        <xdr:cNvPr id="385" name="TextBox 1">
          <a:extLst>
            <a:ext uri="{FF2B5EF4-FFF2-40B4-BE49-F238E27FC236}">
              <a16:creationId xmlns:a16="http://schemas.microsoft.com/office/drawing/2014/main" id="{36B08BEC-6FDD-491F-A16C-085DA85494F1}"/>
            </a:ext>
          </a:extLst>
        </xdr:cNvPr>
        <xdr:cNvSpPr txBox="1"/>
      </xdr:nvSpPr>
      <xdr:spPr>
        <a:xfrm>
          <a:off x="237331" y="7239265"/>
          <a:ext cx="12228513" cy="5174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b="1" u="none">
              <a:solidFill>
                <a:schemeClr val="bg2"/>
              </a:solidFill>
            </a:rPr>
            <a:t>How to Use</a:t>
          </a:r>
        </a:p>
        <a:p>
          <a:pPr algn="l"/>
          <a:endParaRPr lang="en-US" sz="1100"/>
        </a:p>
        <a:p>
          <a:pPr algn="l"/>
          <a:r>
            <a:rPr lang="en-US" sz="1600" b="1" u="none">
              <a:solidFill>
                <a:schemeClr val="accent2"/>
              </a:solidFill>
            </a:rPr>
            <a:t>Colors</a:t>
          </a:r>
        </a:p>
        <a:p>
          <a:pPr algn="l"/>
          <a:r>
            <a:rPr lang="en-US" sz="1100">
              <a:solidFill>
                <a:sysClr val="windowText" lastClr="000000"/>
              </a:solidFill>
            </a:rPr>
            <a:t>-</a:t>
          </a:r>
          <a:r>
            <a:rPr lang="en-US" sz="1100" baseline="0">
              <a:solidFill>
                <a:sysClr val="windowText" lastClr="000000"/>
              </a:solidFill>
            </a:rPr>
            <a:t> </a:t>
          </a:r>
          <a:r>
            <a:rPr lang="en-US" sz="1100" b="1" baseline="0">
              <a:solidFill>
                <a:schemeClr val="bg2"/>
              </a:solidFill>
            </a:rPr>
            <a:t>Teal</a:t>
          </a:r>
          <a:r>
            <a:rPr lang="en-US" sz="1100" b="1" baseline="0">
              <a:solidFill>
                <a:sysClr val="windowText" lastClr="000000"/>
              </a:solidFill>
            </a:rPr>
            <a:t> </a:t>
          </a:r>
          <a:r>
            <a:rPr lang="en-US" sz="1100" b="0" baseline="0">
              <a:solidFill>
                <a:sysClr val="windowText" lastClr="000000"/>
              </a:solidFill>
            </a:rPr>
            <a:t>tabs require user input</a:t>
          </a:r>
          <a:r>
            <a:rPr lang="en-US" sz="1100" baseline="0">
              <a:solidFill>
                <a:sysClr val="windowText" lastClr="000000"/>
              </a:solidFill>
            </a:rPr>
            <a:t>. </a:t>
          </a:r>
          <a:r>
            <a:rPr lang="en-US" sz="1100" b="0" baseline="0">
              <a:solidFill>
                <a:schemeClr val="tx1"/>
              </a:solidFill>
            </a:rPr>
            <a:t>Users should not make changes in </a:t>
          </a:r>
          <a:r>
            <a:rPr lang="en-US" sz="1100" b="1" baseline="0">
              <a:solidFill>
                <a:schemeClr val="tx1">
                  <a:lumMod val="65000"/>
                  <a:lumOff val="35000"/>
                </a:schemeClr>
              </a:solidFill>
            </a:rPr>
            <a:t>grey tabs</a:t>
          </a:r>
          <a:r>
            <a:rPr lang="en-US" sz="1100" baseline="0">
              <a:solidFill>
                <a:sysClr val="windowText" lastClr="000000"/>
              </a:solidFill>
            </a:rPr>
            <a:t>. </a:t>
          </a:r>
        </a:p>
        <a:p>
          <a:pPr algn="l"/>
          <a:r>
            <a:rPr lang="en-US" sz="1100" baseline="0">
              <a:solidFill>
                <a:sysClr val="windowText" lastClr="000000"/>
              </a:solidFill>
            </a:rPr>
            <a:t>- </a:t>
          </a:r>
          <a:r>
            <a:rPr lang="en-US" sz="1100" b="1" baseline="0">
              <a:solidFill>
                <a:schemeClr val="accent4"/>
              </a:solidFill>
            </a:rPr>
            <a:t>Blue</a:t>
          </a:r>
          <a:r>
            <a:rPr lang="en-US" sz="1100" baseline="0">
              <a:solidFill>
                <a:sysClr val="windowText" lastClr="000000"/>
              </a:solidFill>
            </a:rPr>
            <a:t> cells in the </a:t>
          </a:r>
          <a:r>
            <a:rPr lang="en-US" sz="1100" b="1" baseline="0">
              <a:solidFill>
                <a:schemeClr val="bg2"/>
              </a:solidFill>
            </a:rPr>
            <a:t>teal tab </a:t>
          </a:r>
          <a:r>
            <a:rPr lang="en-US" sz="1100" baseline="0">
              <a:solidFill>
                <a:sysClr val="windowText" lastClr="000000"/>
              </a:solidFill>
            </a:rPr>
            <a:t>indicate user input areas.</a:t>
          </a:r>
        </a:p>
        <a:p>
          <a:pPr algn="l"/>
          <a:endParaRPr lang="en-US" sz="1100" baseline="0"/>
        </a:p>
        <a:p>
          <a:pPr algn="l"/>
          <a:r>
            <a:rPr lang="en-US" sz="1600" b="1" u="none" baseline="0">
              <a:solidFill>
                <a:schemeClr val="accent2"/>
              </a:solidFill>
            </a:rPr>
            <a:t>Tabs</a:t>
          </a:r>
        </a:p>
        <a:p>
          <a:pPr algn="l"/>
          <a:r>
            <a:rPr lang="en-US" sz="1100" b="0"/>
            <a:t>- The </a:t>
          </a:r>
          <a:r>
            <a:rPr lang="en-US" sz="1100" b="1" i="0">
              <a:solidFill>
                <a:schemeClr val="bg2"/>
              </a:solidFill>
            </a:rPr>
            <a:t>CO2</a:t>
          </a:r>
          <a:r>
            <a:rPr lang="en-US" sz="1100" b="1" i="0" baseline="0">
              <a:solidFill>
                <a:schemeClr val="bg2"/>
              </a:solidFill>
            </a:rPr>
            <a:t> Production Data &amp; Results </a:t>
          </a:r>
          <a:r>
            <a:rPr lang="en-US" sz="1100" b="0"/>
            <a:t>tab is where the user enters</a:t>
          </a:r>
          <a:r>
            <a:rPr lang="en-US" sz="1100" b="0" baseline="0"/>
            <a:t> their production data and views the total CO2e impact and potential 45Q tax credits. Use the drop-down menus to add entries and enter quantities into the </a:t>
          </a:r>
          <a:r>
            <a:rPr lang="en-US" sz="1100" b="1" baseline="0">
              <a:solidFill>
                <a:schemeClr val="bg2"/>
              </a:solidFill>
            </a:rPr>
            <a:t>blue</a:t>
          </a:r>
          <a:r>
            <a:rPr lang="en-US" sz="1100" b="0" baseline="0"/>
            <a:t> cells. </a:t>
          </a:r>
        </a:p>
        <a:p>
          <a:pPr algn="l"/>
          <a:endParaRPr lang="en-US" sz="1100" b="0" baseline="0"/>
        </a:p>
        <a:p>
          <a:pPr algn="l"/>
          <a:r>
            <a:rPr lang="en-US" sz="1100" b="0" baseline="0"/>
            <a:t>- The </a:t>
          </a:r>
          <a:r>
            <a:rPr lang="en-US" sz="1100" b="1" baseline="0">
              <a:solidFill>
                <a:schemeClr val="tx1">
                  <a:lumMod val="65000"/>
                  <a:lumOff val="35000"/>
                </a:schemeClr>
              </a:solidFill>
            </a:rPr>
            <a:t>45Q Calculations </a:t>
          </a:r>
          <a:r>
            <a:rPr lang="en-US" sz="1100" b="0" baseline="0"/>
            <a:t>tab is a mirror of the CO2 Production data and the calculations. This should not be changed by the user and may be hidden. </a:t>
          </a:r>
        </a:p>
        <a:p>
          <a:pPr algn="l"/>
          <a:endParaRPr lang="en-US" sz="1100" b="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0"/>
            <a:t>- The </a:t>
          </a:r>
          <a:r>
            <a:rPr lang="en-US" sz="1100" b="1">
              <a:solidFill>
                <a:schemeClr val="tx1">
                  <a:lumMod val="65000"/>
                  <a:lumOff val="35000"/>
                </a:schemeClr>
              </a:solidFill>
            </a:rPr>
            <a:t>45Q Library </a:t>
          </a:r>
          <a:r>
            <a:rPr lang="en-US" sz="1100" b="0"/>
            <a:t>tab</a:t>
          </a:r>
          <a:r>
            <a:rPr lang="en-US" sz="1100" b="1"/>
            <a:t> </a:t>
          </a:r>
          <a:r>
            <a:rPr lang="en-US" sz="1100" b="0"/>
            <a:t>is where the</a:t>
          </a:r>
          <a:r>
            <a:rPr lang="en-US" sz="1100" b="0" baseline="0"/>
            <a:t> GHG emissions for various inputs are stored. This should not be changed by the user and may be hidden. </a:t>
          </a:r>
        </a:p>
        <a:p>
          <a:pPr algn="l"/>
          <a:endParaRPr lang="en-US" sz="1100" b="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0" baseline="0"/>
            <a:t>- The </a:t>
          </a:r>
          <a:r>
            <a:rPr lang="en-US" sz="1100" b="1" baseline="0">
              <a:solidFill>
                <a:schemeClr val="tx1">
                  <a:lumMod val="65000"/>
                  <a:lumOff val="35000"/>
                </a:schemeClr>
              </a:solidFill>
            </a:rPr>
            <a:t>Unit Conversions </a:t>
          </a:r>
          <a:r>
            <a:rPr lang="en-US" sz="1100" b="0" baseline="0"/>
            <a:t>tab is where unit conversions are stored. This should not be changed by the user and may be hidden.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baseline="0"/>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baseline="0"/>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FF6963"/>
              </a:solidFill>
            </a:rPr>
            <a:t>Warning! This calculator provides a basic estimate of credits only.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chemeClr val="tx1"/>
              </a:solidFill>
            </a:rPr>
            <a:t>It is not a substitute for a life cycle assessment by an experienced practitioner. Actual results may vary and any indication of benefit is based solely on input with an assumption of accuracy.</a:t>
          </a:r>
        </a:p>
      </xdr:txBody>
    </xdr:sp>
    <xdr:clientData/>
  </xdr:twoCellAnchor>
  <xdr:twoCellAnchor>
    <xdr:from>
      <xdr:col>2</xdr:col>
      <xdr:colOff>73493</xdr:colOff>
      <xdr:row>12</xdr:row>
      <xdr:rowOff>20153</xdr:rowOff>
    </xdr:from>
    <xdr:to>
      <xdr:col>18</xdr:col>
      <xdr:colOff>292630</xdr:colOff>
      <xdr:row>21</xdr:row>
      <xdr:rowOff>126594</xdr:rowOff>
    </xdr:to>
    <xdr:sp macro="" textlink="">
      <xdr:nvSpPr>
        <xdr:cNvPr id="391" name="TextBox 3">
          <a:extLst>
            <a:ext uri="{FF2B5EF4-FFF2-40B4-BE49-F238E27FC236}">
              <a16:creationId xmlns:a16="http://schemas.microsoft.com/office/drawing/2014/main" id="{CD0B0E26-8018-8D46-A0C6-3CB5317735CB}"/>
            </a:ext>
          </a:extLst>
        </xdr:cNvPr>
        <xdr:cNvSpPr txBox="1"/>
      </xdr:nvSpPr>
      <xdr:spPr>
        <a:xfrm>
          <a:off x="1462026" y="2255353"/>
          <a:ext cx="11327404" cy="200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5400" b="1">
              <a:solidFill>
                <a:schemeClr val="bg1"/>
              </a:solidFill>
            </a:rPr>
            <a:t>Section 45Q Tax Credits Calculator by EarthShift Global</a:t>
          </a:r>
        </a:p>
      </xdr:txBody>
    </xdr:sp>
    <xdr:clientData/>
  </xdr:twoCellAnchor>
  <xdr:twoCellAnchor>
    <xdr:from>
      <xdr:col>0</xdr:col>
      <xdr:colOff>298438</xdr:colOff>
      <xdr:row>22</xdr:row>
      <xdr:rowOff>69256</xdr:rowOff>
    </xdr:from>
    <xdr:to>
      <xdr:col>11</xdr:col>
      <xdr:colOff>358913</xdr:colOff>
      <xdr:row>36</xdr:row>
      <xdr:rowOff>59530</xdr:rowOff>
    </xdr:to>
    <xdr:sp macro="" textlink="">
      <xdr:nvSpPr>
        <xdr:cNvPr id="268" name="TextBox 4">
          <a:extLst>
            <a:ext uri="{FF2B5EF4-FFF2-40B4-BE49-F238E27FC236}">
              <a16:creationId xmlns:a16="http://schemas.microsoft.com/office/drawing/2014/main" id="{F89115C3-6257-AC49-A129-0292C5AC4580}"/>
            </a:ext>
          </a:extLst>
        </xdr:cNvPr>
        <xdr:cNvSpPr txBox="1"/>
      </xdr:nvSpPr>
      <xdr:spPr>
        <a:xfrm>
          <a:off x="298438" y="4434881"/>
          <a:ext cx="6718053" cy="262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accent5"/>
              </a:solidFill>
            </a:rPr>
            <a:t>Initial Design</a:t>
          </a:r>
          <a:r>
            <a:rPr lang="en-US" sz="2000" b="1" baseline="0">
              <a:solidFill>
                <a:schemeClr val="accent5"/>
              </a:solidFill>
            </a:rPr>
            <a:t> by: </a:t>
          </a:r>
          <a:r>
            <a:rPr lang="en-US" sz="2000" b="1" baseline="0">
              <a:solidFill>
                <a:schemeClr val="bg1"/>
              </a:solidFill>
            </a:rPr>
            <a:t>Lise Laurin</a:t>
          </a:r>
        </a:p>
        <a:p>
          <a:endParaRPr lang="en-US" sz="2000" b="1" baseline="0">
            <a:solidFill>
              <a:schemeClr val="bg1"/>
            </a:solidFill>
          </a:endParaRPr>
        </a:p>
        <a:p>
          <a:r>
            <a:rPr lang="en-US" sz="2000" b="1" baseline="0">
              <a:solidFill>
                <a:schemeClr val="accent5"/>
              </a:solidFill>
            </a:rPr>
            <a:t>Reviewed by: </a:t>
          </a:r>
          <a:r>
            <a:rPr lang="en-US" sz="2000" b="1" baseline="0">
              <a:solidFill>
                <a:schemeClr val="bg1"/>
              </a:solidFill>
            </a:rPr>
            <a:t>Mariana Ortega Ramirez, </a:t>
          </a:r>
          <a:r>
            <a:rPr lang="en-US" sz="2000" b="1" baseline="0">
              <a:solidFill>
                <a:schemeClr val="bg1"/>
              </a:solidFill>
              <a:latin typeface="+mn-lt"/>
              <a:ea typeface="+mn-ea"/>
              <a:cs typeface="+mn-cs"/>
            </a:rPr>
            <a:t>Amalia</a:t>
          </a:r>
          <a:r>
            <a:rPr lang="en-US" sz="1100" b="1" baseline="0">
              <a:solidFill>
                <a:schemeClr val="dk1"/>
              </a:solidFill>
              <a:effectLst/>
              <a:latin typeface="+mn-lt"/>
              <a:ea typeface="+mn-ea"/>
              <a:cs typeface="+mn-cs"/>
            </a:rPr>
            <a:t> </a:t>
          </a:r>
          <a:r>
            <a:rPr lang="en-US" sz="2000" b="1" baseline="0">
              <a:solidFill>
                <a:schemeClr val="bg1"/>
              </a:solidFill>
              <a:latin typeface="+mn-lt"/>
              <a:ea typeface="+mn-ea"/>
              <a:cs typeface="+mn-cs"/>
            </a:rPr>
            <a:t>Sojo</a:t>
          </a:r>
        </a:p>
        <a:p>
          <a:endParaRPr lang="en-US" sz="2000" b="1" baseline="0">
            <a:solidFill>
              <a:schemeClr val="bg1"/>
            </a:solidFill>
          </a:endParaRPr>
        </a:p>
        <a:p>
          <a:r>
            <a:rPr lang="en-US" sz="2000" b="1" baseline="0">
              <a:solidFill>
                <a:schemeClr val="accent5"/>
              </a:solidFill>
            </a:rPr>
            <a:t>Additional Design by: </a:t>
          </a:r>
          <a:r>
            <a:rPr lang="en-US" sz="2000" b="1" baseline="0">
              <a:solidFill>
                <a:schemeClr val="bg1"/>
              </a:solidFill>
            </a:rPr>
            <a:t>Tess Konnovitch, Bryton Moeller</a:t>
          </a:r>
        </a:p>
        <a:p>
          <a:endParaRPr lang="en-US" sz="2000" b="1" baseline="0">
            <a:solidFill>
              <a:schemeClr val="bg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2000" b="1" i="1" baseline="0">
              <a:solidFill>
                <a:schemeClr val="bg1"/>
              </a:solidFill>
            </a:rPr>
            <a:t>Version 1.0 (11/30/2023)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495300</xdr:colOff>
      <xdr:row>1</xdr:row>
      <xdr:rowOff>28575</xdr:rowOff>
    </xdr:from>
    <xdr:to>
      <xdr:col>20</xdr:col>
      <xdr:colOff>45904</xdr:colOff>
      <xdr:row>13</xdr:row>
      <xdr:rowOff>22951</xdr:rowOff>
    </xdr:to>
    <xdr:sp macro="" textlink="">
      <xdr:nvSpPr>
        <xdr:cNvPr id="4" name="Rectangle: Rounded Corners 1">
          <a:extLst>
            <a:ext uri="{FF2B5EF4-FFF2-40B4-BE49-F238E27FC236}">
              <a16:creationId xmlns:a16="http://schemas.microsoft.com/office/drawing/2014/main" id="{354CF655-29A6-D7F9-0FF1-ABBAD2B44136}"/>
            </a:ext>
          </a:extLst>
        </xdr:cNvPr>
        <xdr:cNvSpPr/>
      </xdr:nvSpPr>
      <xdr:spPr>
        <a:xfrm>
          <a:off x="10536716" y="430232"/>
          <a:ext cx="11026507" cy="2610882"/>
        </a:xfrm>
        <a:prstGeom prst="roundRect">
          <a:avLst>
            <a:gd name="adj" fmla="val 0"/>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158751</xdr:rowOff>
    </xdr:from>
    <xdr:to>
      <xdr:col>13</xdr:col>
      <xdr:colOff>136071</xdr:colOff>
      <xdr:row>7</xdr:row>
      <xdr:rowOff>173182</xdr:rowOff>
    </xdr:to>
    <xdr:sp macro="" textlink="">
      <xdr:nvSpPr>
        <xdr:cNvPr id="3" name="Rectangle: Rounded Corners 2">
          <a:extLst>
            <a:ext uri="{FF2B5EF4-FFF2-40B4-BE49-F238E27FC236}">
              <a16:creationId xmlns:a16="http://schemas.microsoft.com/office/drawing/2014/main" id="{5241411E-1D0F-493A-8785-5BB35D224E8A}"/>
            </a:ext>
          </a:extLst>
        </xdr:cNvPr>
        <xdr:cNvSpPr/>
      </xdr:nvSpPr>
      <xdr:spPr>
        <a:xfrm>
          <a:off x="0" y="362858"/>
          <a:ext cx="14287500" cy="1205056"/>
        </a:xfrm>
        <a:prstGeom prst="roundRect">
          <a:avLst>
            <a:gd name="adj" fmla="val 0"/>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30143</xdr:colOff>
      <xdr:row>26</xdr:row>
      <xdr:rowOff>90551</xdr:rowOff>
    </xdr:from>
    <xdr:to>
      <xdr:col>19</xdr:col>
      <xdr:colOff>63500</xdr:colOff>
      <xdr:row>40</xdr:row>
      <xdr:rowOff>176893</xdr:rowOff>
    </xdr:to>
    <xdr:graphicFrame macro="">
      <xdr:nvGraphicFramePr>
        <xdr:cNvPr id="2" name="Chart 4">
          <a:extLst>
            <a:ext uri="{FF2B5EF4-FFF2-40B4-BE49-F238E27FC236}">
              <a16:creationId xmlns:a16="http://schemas.microsoft.com/office/drawing/2014/main" id="{4503FE82-E653-C30E-5B05-8DFC2CB879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quilibrio\EarthShift\Facebook\Portal\Portal%20TV%20Excel%20Tool%20TE%20edits%2011%2016%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P Impact Library"/>
      <sheetName val="Auto Library"/>
      <sheetName val="BOM Impact Calculator"/>
      <sheetName val="Summary &amp; Visualizations"/>
      <sheetName val="Data Search Validation"/>
      <sheetName val="Unit Conversions"/>
      <sheetName val="Portal TV BOM to Dataset Map"/>
      <sheetName val="New GaBi Datasets"/>
      <sheetName val="Impact Library"/>
      <sheetName val="Impact Calculations"/>
      <sheetName val="conver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35B2EC-4CB1-4527-85D4-7772D32AC0EF}" name="Table3" displayName="Table3" ref="A4:S81" totalsRowShown="0" headerRowDxfId="20" dataDxfId="19">
  <autoFilter ref="A4:S81" xr:uid="{0835B2EC-4CB1-4527-85D4-7772D32AC0EF}"/>
  <tableColumns count="19">
    <tableColumn id="1" xr3:uid="{982B1D7C-F4F0-4D05-9898-0DC38ED28323}" name="Process" dataDxfId="18"/>
    <tableColumn id="2" xr3:uid="{9F04221E-24F3-47E2-ADD7-10C4200E3A7A}" name="Source" dataDxfId="17"/>
    <tableColumn id="3" xr3:uid="{956A7384-DAEC-4D1E-A611-CED839ECE21B}" name="Reference Flow" dataDxfId="16"/>
    <tableColumn id="4" xr3:uid="{612C4F03-139D-488A-A03D-B7ADA1D41694}" name=" Amount" dataDxfId="15"/>
    <tableColumn id="5" xr3:uid="{7C4C0E1F-ED29-482D-B364-F01CC394B116}" name="Units" dataDxfId="14"/>
    <tableColumn id="6" xr3:uid="{5570C4B2-0AFF-4F4D-BA5D-AD7E5C7A9655}" name="Direct + Upstream Impacts (cradle-to-gate)" dataDxfId="13"/>
    <tableColumn id="7" xr3:uid="{C5B5E1E8-3859-4DBF-A5D4-AA8B910DC5A6}" name="Column1" dataDxfId="12"/>
    <tableColumn id="8" xr3:uid="{91623A47-7421-4A23-A00C-AAC2B3EBB064}" name="Column2" dataDxfId="11"/>
    <tableColumn id="9" xr3:uid="{997B79C9-D558-42E4-B39E-4A552D1246F1}" name="GWP100" dataDxfId="10"/>
    <tableColumn id="10" xr3:uid="{79C9701E-CB2A-4CFC-859D-943172E58B93}" name="Column4" dataDxfId="9"/>
    <tableColumn id="11" xr3:uid="{4896785E-EB63-4500-90DC-4FDF37F93068}" name="Column5" dataDxfId="8"/>
    <tableColumn id="12" xr3:uid="{E932B97F-AB67-49BE-B9F1-A7D8C208E84B}" name="Column6" dataDxfId="7"/>
    <tableColumn id="13" xr3:uid="{EEE22604-08B3-4F20-8F57-A63C4701EAC2}" name="Co-Products" dataDxfId="6"/>
    <tableColumn id="14" xr3:uid="{E9D574F8-ABF7-4EEB-B2B5-39EE24BAF22D}" name="Column7" dataDxfId="5"/>
    <tableColumn id="15" xr3:uid="{CEA2A3C7-8272-4580-AFBF-04C0526437DF}" name="Direct Impacts (gate-to-gate)" dataDxfId="4"/>
    <tableColumn id="16" xr3:uid="{53DA76DA-ED68-4469-841E-98165AC9F9C3}" name="Direct + Upstream Impacts (cradle-to-gate)8" dataDxfId="3"/>
    <tableColumn id="17" xr3:uid="{92A3CDE3-2A52-4AD2-A60F-CE87F390EC9F}" name="Co-Products9" dataDxfId="2"/>
    <tableColumn id="18" xr3:uid="{F7A85D75-B6A8-43CA-887D-125FB7649406}" name="Column10" dataDxfId="1"/>
    <tableColumn id="19" xr3:uid="{82AE10E2-807A-4B3B-84F5-92B865591CDD}" name="Avoided. GWP100, GREET (dep. Energy)" dataDxfId="0"/>
  </tableColumns>
  <tableStyleInfo name="TableStyleLight11" showFirstColumn="0" showLastColumn="0" showRowStripes="1" showColumnStripes="0"/>
</table>
</file>

<file path=xl/theme/theme1.xml><?xml version="1.0" encoding="utf-8"?>
<a:theme xmlns:a="http://schemas.openxmlformats.org/drawingml/2006/main" name="ESG">
  <a:themeElements>
    <a:clrScheme name="ESG Theme">
      <a:dk1>
        <a:srgbClr val="000000"/>
      </a:dk1>
      <a:lt1>
        <a:srgbClr val="FFFFFF"/>
      </a:lt1>
      <a:dk2>
        <a:srgbClr val="EBF9F9"/>
      </a:dk2>
      <a:lt2>
        <a:srgbClr val="088D92"/>
      </a:lt2>
      <a:accent1>
        <a:srgbClr val="088D92"/>
      </a:accent1>
      <a:accent2>
        <a:srgbClr val="5CBA3E"/>
      </a:accent2>
      <a:accent3>
        <a:srgbClr val="D0CECE"/>
      </a:accent3>
      <a:accent4>
        <a:srgbClr val="0DC8D0"/>
      </a:accent4>
      <a:accent5>
        <a:srgbClr val="CDF3BB"/>
      </a:accent5>
      <a:accent6>
        <a:srgbClr val="24B287"/>
      </a:accent6>
      <a:hlink>
        <a:srgbClr val="088D92"/>
      </a:hlink>
      <a:folHlink>
        <a:srgbClr val="088D9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irs.gov/pub/irs-pdf/f8933.pdf" TargetMode="External"/><Relationship Id="rId7" Type="http://schemas.openxmlformats.org/officeDocument/2006/relationships/hyperlink" Target="https://greet.anl.gov/index.php?content=download1x" TargetMode="External"/><Relationship Id="rId2" Type="http://schemas.openxmlformats.org/officeDocument/2006/relationships/hyperlink" Target="https://view.officeapps.live.com/op/view.aspx?src=https%3A%2F%2Fwww.netl.doe.gov%2Fprojects%2Ffiles%2FNETL45QLCAReportTemplate_022322.docx&amp;wdOrigin=BROWSELINK" TargetMode="External"/><Relationship Id="rId1" Type="http://schemas.openxmlformats.org/officeDocument/2006/relationships/hyperlink" Target="https://view.officeapps.live.com/op/view.aspx?src=https%3A%2F%2Fnetl.doe.gov%2Fprojects%2Ffiles%2FNETLCO2ULCADocumentationSpreadsheet_061722.xlsx&amp;wd" TargetMode="External"/><Relationship Id="rId6" Type="http://schemas.openxmlformats.org/officeDocument/2006/relationships/hyperlink" Target="https://view.officeapps.live.com/op/view.aspx?src=https%3A%2F%2Fnetl.doe.gov%2Fprojects%2Ffiles%2FNETLCO2ULCADocumentationSpreadsheet_061722.xlsx&amp;wd" TargetMode="External"/><Relationship Id="rId11" Type="http://schemas.openxmlformats.org/officeDocument/2006/relationships/comments" Target="../comments2.xml"/><Relationship Id="rId5" Type="http://schemas.openxmlformats.org/officeDocument/2006/relationships/hyperlink" Target="https://www.irs.gov/instructions/i8933" TargetMode="External"/><Relationship Id="rId10" Type="http://schemas.openxmlformats.org/officeDocument/2006/relationships/table" Target="../tables/table1.xml"/><Relationship Id="rId4" Type="http://schemas.openxmlformats.org/officeDocument/2006/relationships/hyperlink" Target="https://www.irs.gov/forms-pubs/about-form-8933" TargetMode="External"/><Relationship Id="rId9" Type="http://schemas.openxmlformats.org/officeDocument/2006/relationships/image" Target="../media/image5.jpeg"/></Relationships>
</file>

<file path=xl/worksheets/_rels/sheet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image" Target="../media/image5.jpeg"/><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46FB3-B910-42D1-801C-AC79196467C0}">
  <sheetPr codeName="Sheet1">
    <tabColor theme="2"/>
  </sheetPr>
  <dimension ref="D4:R17"/>
  <sheetViews>
    <sheetView showGridLines="0" tabSelected="1" topLeftCell="A9" zoomScale="96" zoomScaleNormal="96" workbookViewId="0">
      <selection activeCell="E6" sqref="E6"/>
    </sheetView>
  </sheetViews>
  <sheetFormatPr defaultColWidth="9.140625" defaultRowHeight="15"/>
  <sheetData>
    <row r="4" spans="4:4">
      <c r="D4" s="186"/>
    </row>
    <row r="17" spans="6:18" ht="32.85" customHeight="1">
      <c r="F17" s="260"/>
      <c r="G17" s="261"/>
      <c r="H17" s="261"/>
      <c r="I17" s="261"/>
      <c r="J17" s="261"/>
      <c r="K17" s="261"/>
      <c r="L17" s="261"/>
      <c r="M17" s="261"/>
      <c r="N17" s="261"/>
      <c r="O17" s="261"/>
      <c r="P17" s="261"/>
      <c r="Q17" s="261"/>
      <c r="R17" s="262"/>
    </row>
  </sheetData>
  <mergeCells count="1">
    <mergeCell ref="F17:R17"/>
  </mergeCells>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3F11-123A-451E-99D9-A8E9F50B346A}">
  <sheetPr codeName="Sheet2">
    <tabColor theme="2"/>
  </sheetPr>
  <dimension ref="A1:R39"/>
  <sheetViews>
    <sheetView showGridLines="0" zoomScale="90" zoomScaleNormal="150" workbookViewId="0">
      <selection activeCell="F27" sqref="F27"/>
    </sheetView>
  </sheetViews>
  <sheetFormatPr defaultColWidth="8.85546875" defaultRowHeight="15"/>
  <cols>
    <col min="1" max="1" width="43.140625" customWidth="1"/>
    <col min="2" max="2" width="12" customWidth="1"/>
    <col min="3" max="3" width="13.140625" customWidth="1"/>
    <col min="5" max="5" width="39.85546875" customWidth="1"/>
    <col min="6" max="6" width="11.85546875" customWidth="1"/>
    <col min="7" max="7" width="12.140625" customWidth="1"/>
    <col min="8" max="9" width="9.140625" customWidth="1"/>
    <col min="10" max="10" width="66.42578125" customWidth="1"/>
    <col min="11" max="11" width="4.85546875" customWidth="1"/>
    <col min="12" max="12" width="20.42578125" customWidth="1"/>
    <col min="13" max="13" width="5.85546875" customWidth="1"/>
    <col min="14" max="14" width="13.7109375" customWidth="1"/>
    <col min="15" max="15" width="5.7109375" customWidth="1"/>
    <col min="16" max="16" width="13.140625" customWidth="1"/>
    <col min="17" max="17" width="5.28515625" customWidth="1"/>
    <col min="18" max="18" width="12.42578125" customWidth="1"/>
    <col min="20" max="20" width="17.85546875" customWidth="1"/>
  </cols>
  <sheetData>
    <row r="1" spans="1:18" ht="31.5" customHeight="1">
      <c r="A1" s="173" t="s">
        <v>0</v>
      </c>
      <c r="B1" s="86"/>
      <c r="C1" s="86"/>
      <c r="D1" s="86"/>
      <c r="E1" s="86"/>
      <c r="F1" s="86"/>
      <c r="G1" s="86"/>
      <c r="H1" s="86"/>
      <c r="I1" s="86"/>
      <c r="J1" s="173" t="s">
        <v>1</v>
      </c>
      <c r="K1" s="86"/>
    </row>
    <row r="2" spans="1:18" ht="15.75" thickBot="1"/>
    <row r="3" spans="1:18" ht="25.5" thickTop="1" thickBot="1">
      <c r="A3" s="248" t="s">
        <v>2</v>
      </c>
      <c r="B3" s="248" t="s">
        <v>3</v>
      </c>
      <c r="C3" s="248" t="s">
        <v>4</v>
      </c>
      <c r="D3" s="248"/>
      <c r="E3" s="249"/>
      <c r="F3" s="249"/>
      <c r="G3" s="249"/>
      <c r="J3" s="251" t="s">
        <v>5</v>
      </c>
      <c r="K3" s="251"/>
      <c r="L3" s="170" t="e">
        <f>'45Q Calculations'!S10</f>
        <v>#DIV/0!</v>
      </c>
      <c r="M3" s="251" t="s">
        <v>6</v>
      </c>
      <c r="N3" s="251"/>
      <c r="O3" s="251"/>
      <c r="P3" s="251"/>
    </row>
    <row r="4" spans="1:18" ht="15.75" thickTop="1">
      <c r="A4" s="174" t="s">
        <v>7</v>
      </c>
      <c r="B4" s="255"/>
      <c r="C4" s="99" t="s">
        <v>8</v>
      </c>
      <c r="D4" s="256"/>
      <c r="E4" s="246" t="s">
        <v>9</v>
      </c>
    </row>
    <row r="5" spans="1:18" ht="21.75" thickBot="1">
      <c r="A5" s="253"/>
      <c r="B5" s="254"/>
      <c r="C5" s="90" t="s">
        <v>8</v>
      </c>
      <c r="J5" s="86" t="str">
        <f>'45Q Calculations'!U1</f>
        <v>Estimated 2023 tax credit</v>
      </c>
      <c r="K5" s="86"/>
      <c r="L5" s="162" t="str">
        <f>'45Q Calculations'!V1</f>
        <v>Facility established</v>
      </c>
      <c r="M5" s="162"/>
      <c r="N5" s="162"/>
      <c r="O5" s="162"/>
      <c r="P5" s="162"/>
      <c r="Q5" s="162"/>
      <c r="R5" s="162"/>
    </row>
    <row r="6" spans="1:18">
      <c r="A6" s="253"/>
      <c r="B6" s="254"/>
      <c r="C6" s="90" t="s">
        <v>8</v>
      </c>
      <c r="L6" t="str">
        <f>'45Q Calculations'!V2</f>
        <v>Before Feb 9, 2018</v>
      </c>
      <c r="N6" t="str">
        <f>'45Q Calculations'!W2</f>
        <v>≤2022</v>
      </c>
      <c r="P6" t="str">
        <f>'45Q Calculations'!X2</f>
        <v>≥2023</v>
      </c>
      <c r="R6" t="str">
        <f>'45Q Calculations'!Y2</f>
        <v>After 2022 and meeting 45(h)(2) requirements</v>
      </c>
    </row>
    <row r="7" spans="1:18">
      <c r="A7" s="253"/>
      <c r="B7" s="254"/>
      <c r="C7" s="90" t="s">
        <v>8</v>
      </c>
      <c r="J7" t="str">
        <f>'45Q Calculations'!U3</f>
        <v xml:space="preserve">CO2 placed in geological storage (not for fossil fuel recovery) </v>
      </c>
      <c r="K7" s="171" t="s">
        <v>10</v>
      </c>
      <c r="L7" s="165" t="e">
        <f>'45Q Calculations'!V3</f>
        <v>#DIV/0!</v>
      </c>
      <c r="M7" s="259" t="s">
        <v>11</v>
      </c>
      <c r="N7" s="165" t="e">
        <f>'45Q Calculations'!W3</f>
        <v>#DIV/0!</v>
      </c>
      <c r="O7" s="259" t="s">
        <v>11</v>
      </c>
      <c r="P7" s="165" t="e">
        <f>'45Q Calculations'!X3</f>
        <v>#DIV/0!</v>
      </c>
      <c r="Q7" s="259" t="s">
        <v>11</v>
      </c>
      <c r="R7" s="165" t="e">
        <f>'45Q Calculations'!Y3</f>
        <v>#DIV/0!</v>
      </c>
    </row>
    <row r="8" spans="1:18">
      <c r="A8" s="253"/>
      <c r="B8" s="254"/>
      <c r="C8" s="90" t="s">
        <v>8</v>
      </c>
      <c r="J8" t="str">
        <f>'45Q Calculations'!U4</f>
        <v>CO2 used for fossil fuel recovery</v>
      </c>
      <c r="K8" s="171" t="s">
        <v>12</v>
      </c>
      <c r="L8" s="165" t="e">
        <f>'45Q Calculations'!V4</f>
        <v>#DIV/0!</v>
      </c>
      <c r="M8" s="259" t="s">
        <v>13</v>
      </c>
      <c r="N8" s="165" t="e">
        <f>'45Q Calculations'!W4</f>
        <v>#DIV/0!</v>
      </c>
      <c r="O8" s="259" t="s">
        <v>13</v>
      </c>
      <c r="P8" s="165" t="e">
        <f>'45Q Calculations'!X4</f>
        <v>#DIV/0!</v>
      </c>
      <c r="Q8" s="259" t="s">
        <v>13</v>
      </c>
      <c r="R8" s="165" t="e">
        <f>'45Q Calculations'!Y4</f>
        <v>#DIV/0!</v>
      </c>
    </row>
    <row r="9" spans="1:18" ht="15.75" thickBot="1">
      <c r="J9" t="str">
        <f>'45Q Calculations'!U5</f>
        <v>CO2 used for other purposes</v>
      </c>
      <c r="K9" s="171" t="s">
        <v>14</v>
      </c>
      <c r="L9" s="165" t="e">
        <f>'45Q Calculations'!V5</f>
        <v>#DIV/0!</v>
      </c>
      <c r="M9" s="259" t="s">
        <v>15</v>
      </c>
      <c r="N9" s="165" t="e">
        <f>'45Q Calculations'!W5</f>
        <v>#DIV/0!</v>
      </c>
      <c r="O9" s="259" t="s">
        <v>15</v>
      </c>
      <c r="P9" s="165" t="e">
        <f>'45Q Calculations'!X5</f>
        <v>#DIV/0!</v>
      </c>
      <c r="Q9" s="259" t="s">
        <v>15</v>
      </c>
      <c r="R9" s="165" t="e">
        <f>'45Q Calculations'!Y5</f>
        <v>#DIV/0!</v>
      </c>
    </row>
    <row r="10" spans="1:18" ht="21" customHeight="1" thickTop="1" thickBot="1">
      <c r="A10" s="248" t="s">
        <v>16</v>
      </c>
      <c r="B10" s="248" t="s">
        <v>3</v>
      </c>
      <c r="C10" s="248" t="s">
        <v>4</v>
      </c>
      <c r="J10" t="str">
        <f>'45Q Calculations'!U6</f>
        <v xml:space="preserve">Air-sourced CO2 placed in geological storage (not for fossil fuel recovery) </v>
      </c>
      <c r="K10" s="172" t="s">
        <v>17</v>
      </c>
      <c r="L10" s="161" t="s">
        <v>18</v>
      </c>
      <c r="M10" s="259" t="s">
        <v>17</v>
      </c>
      <c r="N10" s="161" t="s">
        <v>18</v>
      </c>
      <c r="O10" s="259" t="s">
        <v>19</v>
      </c>
      <c r="P10" s="165" t="e">
        <f>'45Q Calculations'!X6</f>
        <v>#DIV/0!</v>
      </c>
      <c r="Q10" s="259" t="s">
        <v>19</v>
      </c>
      <c r="R10" s="165" t="e">
        <f>'45Q Calculations'!Y6</f>
        <v>#DIV/0!</v>
      </c>
    </row>
    <row r="11" spans="1:18" ht="15.75" thickTop="1">
      <c r="A11" s="257"/>
      <c r="B11" s="255"/>
      <c r="C11" s="99" t="str">
        <f>IF(A11="",UNIT,VLOOKUP(A11,'45Q Library'!$A$6:$E$32,5))</f>
        <v>unit</v>
      </c>
      <c r="J11" t="str">
        <f>'45Q Calculations'!U7</f>
        <v>Air-sourced CO2 used for fossil fuel recovery</v>
      </c>
      <c r="K11" s="172" t="s">
        <v>17</v>
      </c>
      <c r="L11" s="161" t="s">
        <v>18</v>
      </c>
      <c r="M11" s="259" t="s">
        <v>17</v>
      </c>
      <c r="N11" s="161" t="s">
        <v>18</v>
      </c>
      <c r="O11" s="259" t="s">
        <v>20</v>
      </c>
      <c r="P11" s="165" t="e">
        <f>'45Q Calculations'!X7</f>
        <v>#DIV/0!</v>
      </c>
      <c r="Q11" s="259" t="s">
        <v>20</v>
      </c>
      <c r="R11" s="165" t="e">
        <f>'45Q Calculations'!Y7</f>
        <v>#DIV/0!</v>
      </c>
    </row>
    <row r="12" spans="1:18">
      <c r="A12" s="258"/>
      <c r="B12" s="254"/>
      <c r="C12" s="90" t="str">
        <f>IF(A12="",UNIT,VLOOKUP(A12,'45Q Library'!$A$6:$E$32,5))</f>
        <v>unit</v>
      </c>
      <c r="J12" t="str">
        <f>'45Q Calculations'!U8</f>
        <v>Air-sourced CO2 used for other purposes</v>
      </c>
      <c r="K12" s="172" t="s">
        <v>17</v>
      </c>
      <c r="L12" s="161" t="s">
        <v>18</v>
      </c>
      <c r="M12" s="259" t="s">
        <v>17</v>
      </c>
      <c r="N12" s="161" t="s">
        <v>18</v>
      </c>
      <c r="O12" s="259" t="s">
        <v>21</v>
      </c>
      <c r="P12" s="165" t="e">
        <f>'45Q Calculations'!X8</f>
        <v>#DIV/0!</v>
      </c>
      <c r="Q12" s="259" t="s">
        <v>21</v>
      </c>
      <c r="R12" s="165" t="e">
        <f>'45Q Calculations'!Y8</f>
        <v>#DIV/0!</v>
      </c>
    </row>
    <row r="13" spans="1:18">
      <c r="A13" s="258"/>
      <c r="B13" s="254"/>
      <c r="C13" s="90" t="str">
        <f>IF(A13="",UNIT,VLOOKUP(A13,'45Q Library'!$A$6:$E$32,5))</f>
        <v>unit</v>
      </c>
    </row>
    <row r="14" spans="1:18">
      <c r="A14" s="258"/>
      <c r="B14" s="254"/>
      <c r="C14" s="90" t="str">
        <f>IF(A14="",UNIT,VLOOKUP(A14,'45Q Library'!$A$6:$E$32,5))</f>
        <v>unit</v>
      </c>
    </row>
    <row r="15" spans="1:18">
      <c r="A15" s="258"/>
      <c r="B15" s="254"/>
      <c r="C15" s="90" t="str">
        <f>IF(A15="",UNIT,VLOOKUP(A15,'45Q Library'!$A$6:$E$32,5))</f>
        <v>unit</v>
      </c>
    </row>
    <row r="16" spans="1:18">
      <c r="A16" s="258"/>
      <c r="B16" s="254"/>
      <c r="C16" s="90" t="str">
        <f>IF(A16="",UNIT,VLOOKUP(A16,'45Q Library'!$A$6:$E$32,5))</f>
        <v>unit</v>
      </c>
    </row>
    <row r="17" spans="1:8" ht="15.75" thickBot="1"/>
    <row r="18" spans="1:8" s="151" customFormat="1" ht="48.75" thickTop="1" thickBot="1">
      <c r="A18" s="250" t="s">
        <v>22</v>
      </c>
      <c r="B18" s="248" t="s">
        <v>3</v>
      </c>
      <c r="C18" s="248" t="s">
        <v>4</v>
      </c>
      <c r="E18" s="250" t="s">
        <v>23</v>
      </c>
      <c r="F18" s="248" t="s">
        <v>3</v>
      </c>
      <c r="G18" s="248" t="s">
        <v>4</v>
      </c>
      <c r="H18"/>
    </row>
    <row r="19" spans="1:8" ht="15.75" thickTop="1">
      <c r="A19" s="257"/>
      <c r="B19" s="255"/>
      <c r="C19" s="90" t="str">
        <f>IF(A19="",UNIT,VLOOKUP(A19,'45Q Library'!$A$36:$R$54,5))</f>
        <v>unit</v>
      </c>
      <c r="E19" s="257"/>
      <c r="F19" s="255"/>
      <c r="G19" s="99" t="str">
        <f>IF(E19="",UNIT,VLOOKUP(E19,'45Q Library'!$A$36:$R$54,5))</f>
        <v>unit</v>
      </c>
    </row>
    <row r="20" spans="1:8">
      <c r="A20" s="258"/>
      <c r="B20" s="254"/>
      <c r="C20" s="90" t="str">
        <f>IF(A20="",UNIT,VLOOKUP(A20,'45Q Library'!$A$36:$R$54,5))</f>
        <v>unit</v>
      </c>
      <c r="E20" s="258"/>
      <c r="F20" s="254"/>
      <c r="G20" s="90" t="str">
        <f>IF(E20="",UNIT,VLOOKUP(E20,'45Q Library'!$A$36:$R$54,5))</f>
        <v>unit</v>
      </c>
    </row>
    <row r="21" spans="1:8">
      <c r="A21" s="258"/>
      <c r="B21" s="254"/>
      <c r="C21" s="90" t="str">
        <f>IF(A21="",UNIT,VLOOKUP(A21,'45Q Library'!$A$36:$R$54,5))</f>
        <v>unit</v>
      </c>
      <c r="E21" s="258"/>
      <c r="F21" s="254"/>
      <c r="G21" s="90" t="str">
        <f>IF(E21="",UNIT,VLOOKUP(E21,'45Q Library'!$A$36:$R$54,5))</f>
        <v>unit</v>
      </c>
    </row>
    <row r="22" spans="1:8" ht="15.75" thickBot="1"/>
    <row r="23" spans="1:8" s="151" customFormat="1" ht="33" thickTop="1" thickBot="1">
      <c r="A23" s="250" t="s">
        <v>24</v>
      </c>
      <c r="B23" s="248" t="s">
        <v>3</v>
      </c>
      <c r="C23" s="248" t="s">
        <v>4</v>
      </c>
    </row>
    <row r="24" spans="1:8" ht="15.75" thickTop="1">
      <c r="A24" s="257"/>
      <c r="B24" s="255"/>
      <c r="C24" s="99" t="str">
        <f>IF(A24="",UNIT,VLOOKUP(A24,'45Q Library'!$A$59:$R$61,5))</f>
        <v>unit</v>
      </c>
    </row>
    <row r="25" spans="1:8">
      <c r="A25" s="258"/>
      <c r="B25" s="254"/>
      <c r="C25" s="90" t="str">
        <f>IF(A25="",UNIT,VLOOKUP(A25,'45Q Library'!$A$59:$R$61,5))</f>
        <v>unit</v>
      </c>
    </row>
    <row r="26" spans="1:8">
      <c r="A26" s="258"/>
      <c r="B26" s="254"/>
      <c r="C26" s="90" t="str">
        <f>IF(A26="",UNIT,VLOOKUP(A26,'45Q Library'!$A$59:$R$61,5))</f>
        <v>unit</v>
      </c>
    </row>
    <row r="27" spans="1:8" ht="15.75" thickBot="1"/>
    <row r="28" spans="1:8" s="151" customFormat="1" ht="33" thickTop="1" thickBot="1">
      <c r="A28" s="250" t="s">
        <v>25</v>
      </c>
      <c r="B28" s="248" t="s">
        <v>3</v>
      </c>
      <c r="C28" s="248" t="s">
        <v>4</v>
      </c>
    </row>
    <row r="29" spans="1:8" ht="15.75" thickTop="1">
      <c r="A29" s="257"/>
      <c r="B29" s="255"/>
      <c r="C29" s="99" t="str">
        <f>IF(A29="",UNIT,VLOOKUP(A29,'45Q Library'!$A$66:$R$69,5))</f>
        <v>unit</v>
      </c>
    </row>
    <row r="30" spans="1:8">
      <c r="A30" s="258"/>
      <c r="B30" s="254"/>
      <c r="C30" s="90" t="str">
        <f>IF(A30="",UNIT,VLOOKUP(A30,'45Q Library'!$A$66:$R$69,5))</f>
        <v>unit</v>
      </c>
    </row>
    <row r="31" spans="1:8">
      <c r="A31" s="258"/>
      <c r="B31" s="254"/>
      <c r="C31" s="90" t="str">
        <f>IF(A31="",UNIT,VLOOKUP(A31,'45Q Library'!$A$66:$R$69,5))</f>
        <v>unit</v>
      </c>
    </row>
    <row r="32" spans="1:8">
      <c r="A32" s="258"/>
      <c r="B32" s="254"/>
      <c r="C32" s="90" t="str">
        <f>IF(A32="",UNIT,VLOOKUP(A32,'45Q Library'!$A$66:$R$69,5))</f>
        <v>unit</v>
      </c>
    </row>
    <row r="33" spans="1:8" ht="15.75" thickBot="1"/>
    <row r="34" spans="1:8" s="151" customFormat="1" ht="48.75" thickTop="1" thickBot="1">
      <c r="A34" s="250" t="s">
        <v>26</v>
      </c>
      <c r="B34" s="248" t="s">
        <v>3</v>
      </c>
      <c r="C34" s="248" t="s">
        <v>4</v>
      </c>
      <c r="E34" s="250" t="s">
        <v>27</v>
      </c>
      <c r="F34" s="248" t="s">
        <v>3</v>
      </c>
      <c r="G34" s="248" t="s">
        <v>4</v>
      </c>
      <c r="H34"/>
    </row>
    <row r="35" spans="1:8" ht="15.75" thickTop="1">
      <c r="A35" s="257"/>
      <c r="B35" s="255"/>
      <c r="C35" s="99" t="str">
        <f>IF(A35="",UNIT,VLOOKUP(A35,'45Q Library'!$A$74:$R$81,5))</f>
        <v>unit</v>
      </c>
      <c r="E35" s="257"/>
      <c r="F35" s="255"/>
      <c r="G35" s="99" t="str">
        <f>IF(E35="",UNIT,VLOOKUP(E35,'45Q Library'!$A$74:$R$81,5))</f>
        <v>unit</v>
      </c>
    </row>
    <row r="36" spans="1:8">
      <c r="A36" s="258"/>
      <c r="B36" s="254"/>
      <c r="C36" s="90" t="str">
        <f>IF(A36="",UNIT,VLOOKUP(A36,'45Q Library'!$A$74:$R$81,5))</f>
        <v>unit</v>
      </c>
      <c r="E36" s="258"/>
      <c r="F36" s="254"/>
      <c r="G36" s="90" t="str">
        <f>IF(E36="",UNIT,VLOOKUP(E36,'45Q Library'!$A$74:$R$81,5))</f>
        <v>unit</v>
      </c>
    </row>
    <row r="37" spans="1:8">
      <c r="A37" s="258"/>
      <c r="B37" s="254"/>
      <c r="C37" s="90" t="str">
        <f>IF(A37="",UNIT,VLOOKUP(A37,'45Q Library'!$A$74:$R$81,5))</f>
        <v>unit</v>
      </c>
      <c r="E37" s="258"/>
      <c r="F37" s="254"/>
      <c r="G37" s="90" t="str">
        <f>IF(E37="",UNIT,VLOOKUP(E37,'45Q Library'!$A$74:$R$81,5))</f>
        <v>unit</v>
      </c>
    </row>
    <row r="38" spans="1:8">
      <c r="A38" s="258"/>
      <c r="B38" s="254"/>
      <c r="C38" s="90" t="str">
        <f>IF(A38="",UNIT,VLOOKUP(A38,'45Q Library'!$A$74:$R$81,5))</f>
        <v>unit</v>
      </c>
      <c r="E38" s="258"/>
      <c r="F38" s="254"/>
      <c r="G38" s="90" t="str">
        <f>IF(E38="",UNIT,VLOOKUP(E38,'45Q Library'!$A$74:$R$81,5))</f>
        <v>unit</v>
      </c>
    </row>
    <row r="39" spans="1:8">
      <c r="A39" s="258"/>
      <c r="B39" s="254"/>
      <c r="C39" s="90" t="str">
        <f>IF(A39="",UNIT,VLOOKUP(A39,'45Q Library'!$A$74:$R$81,5))</f>
        <v>unit</v>
      </c>
      <c r="E39" s="258"/>
      <c r="F39" s="254"/>
      <c r="G39" s="90" t="str">
        <f>IF(E39="",UNIT,VLOOKUP(E39,'45Q Library'!$A$74:$R$81,5))</f>
        <v>unit</v>
      </c>
    </row>
  </sheetData>
  <conditionalFormatting sqref="A5:A8 A11:B16 A19:B21 E19:F21 A24:B26 A29:B32 A35:B39 E35:F39">
    <cfRule type="cellIs" dxfId="28" priority="3" operator="notEqual">
      <formula>""</formula>
    </cfRule>
  </conditionalFormatting>
  <conditionalFormatting sqref="D4 B4:B8">
    <cfRule type="cellIs" dxfId="27" priority="7" operator="notEqual">
      <formula>""</formula>
    </cfRule>
  </conditionalFormatting>
  <conditionalFormatting sqref="L3 L7:L12 N7:N12 P7:P12">
    <cfRule type="containsErrors" dxfId="26" priority="20">
      <formula>ISERROR(L3)</formula>
    </cfRule>
  </conditionalFormatting>
  <conditionalFormatting sqref="L3">
    <cfRule type="cellIs" dxfId="25" priority="1" operator="greaterThan">
      <formula>0</formula>
    </cfRule>
    <cfRule type="cellIs" dxfId="24" priority="5" operator="equal">
      <formula>0</formula>
    </cfRule>
    <cfRule type="cellIs" dxfId="23" priority="6" operator="lessThan">
      <formula>0</formula>
    </cfRule>
  </conditionalFormatting>
  <conditionalFormatting sqref="R7:R12">
    <cfRule type="containsErrors" dxfId="22" priority="21">
      <formula>ISERROR(R7)</formula>
    </cfRule>
  </conditionalFormatting>
  <pageMargins left="0.7" right="0.7" top="0.75" bottom="0.75" header="0.3" footer="0.3"/>
  <ignoredErrors>
    <ignoredError sqref="P7:P12 L7:L9 N7:N9 R7:R12" evalError="1"/>
  </ignoredErrors>
  <drawing r:id="rId1"/>
  <legacyDrawing r:id="rId2"/>
  <picture r:id="rId3"/>
  <extLst>
    <ext xmlns:x14="http://schemas.microsoft.com/office/spreadsheetml/2009/9/main" uri="{78C0D931-6437-407d-A8EE-F0AAD7539E65}">
      <x14:conditionalFormattings>
        <x14:conditionalFormatting xmlns:xm="http://schemas.microsoft.com/office/excel/2006/main">
          <x14:cfRule type="cellIs" priority="18" operator="equal" id="{EAED9AD1-AA00-443C-8CA6-CA361386928C}">
            <xm:f>'45Q Calculations'!$C$45</xm:f>
            <x14:dxf>
              <font>
                <b val="0"/>
                <i/>
                <color theme="0" tint="-0.34998626667073579"/>
              </font>
              <fill>
                <patternFill patternType="none">
                  <bgColor auto="1"/>
                </patternFill>
              </fill>
            </x14:dxf>
          </x14:cfRule>
          <xm:sqref>C11:C16 G19:G21 C24:C26 C29:C32 C35:C39 G35:G39 C19:C21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3F4393E0-D1E4-47C6-8CC3-46901028DCE2}">
          <x14:formula1>
            <xm:f>'45Q Library'!$A$36:$A$54</xm:f>
          </x14:formula1>
          <xm:sqref>A19:A21 E19:E21</xm:sqref>
        </x14:dataValidation>
        <x14:dataValidation type="list" allowBlank="1" showInputMessage="1" showErrorMessage="1" xr:uid="{38752E36-8206-441C-B3C9-3469B972E53B}">
          <x14:formula1>
            <xm:f>'45Q Library'!$A$59:$A$61</xm:f>
          </x14:formula1>
          <xm:sqref>A24:A26</xm:sqref>
        </x14:dataValidation>
        <x14:dataValidation type="list" allowBlank="1" showInputMessage="1" showErrorMessage="1" xr:uid="{D9A481F8-F7F4-4AC2-9EA0-10EBAE79A7B1}">
          <x14:formula1>
            <xm:f>'45Q Library'!$A$66:$A$69</xm:f>
          </x14:formula1>
          <xm:sqref>A29:A32</xm:sqref>
        </x14:dataValidation>
        <x14:dataValidation type="list" allowBlank="1" showInputMessage="1" showErrorMessage="1" xr:uid="{94B71043-F8C0-47EF-8B1A-7F3C1D004DA7}">
          <x14:formula1>
            <xm:f>'45Q Library'!$A$6:$A$32</xm:f>
          </x14:formula1>
          <xm:sqref>A11:A16</xm:sqref>
        </x14:dataValidation>
        <x14:dataValidation type="list" allowBlank="1" showInputMessage="1" showErrorMessage="1" xr:uid="{94CA7338-E618-402D-8D67-370F1FA6B781}">
          <x14:formula1>
            <xm:f>'45Q Library'!$A$74:$A$81</xm:f>
          </x14:formula1>
          <xm:sqref>A35:A39 E35:E39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686DE-48D6-40B1-9E0D-D953AE1A2BD7}">
  <sheetPr codeName="Sheet3">
    <tabColor theme="0" tint="-0.499984740745262"/>
  </sheetPr>
  <dimension ref="A1:S140"/>
  <sheetViews>
    <sheetView showGridLines="0" topLeftCell="A20" zoomScale="65" zoomScaleNormal="64" workbookViewId="0">
      <selection activeCell="S1" sqref="S1"/>
    </sheetView>
  </sheetViews>
  <sheetFormatPr defaultColWidth="8.85546875" defaultRowHeight="15"/>
  <cols>
    <col min="1" max="1" width="45.42578125" customWidth="1"/>
    <col min="2" max="2" width="19.42578125" customWidth="1"/>
    <col min="3" max="3" width="18.7109375" customWidth="1"/>
    <col min="4" max="4" width="11.140625" customWidth="1"/>
    <col min="6" max="6" width="24" customWidth="1"/>
    <col min="7" max="8" width="9.140625" customWidth="1"/>
    <col min="9" max="9" width="12.7109375" customWidth="1"/>
    <col min="10" max="10" width="9.140625" customWidth="1"/>
    <col min="11" max="11" width="11.42578125" customWidth="1"/>
    <col min="12" max="12" width="13.28515625" customWidth="1"/>
    <col min="13" max="14" width="9.140625" customWidth="1"/>
    <col min="15" max="15" width="13.42578125" customWidth="1"/>
    <col min="16" max="16" width="19.140625" customWidth="1"/>
    <col min="17" max="18" width="9.140625" customWidth="1"/>
    <col min="19" max="19" width="29.85546875" customWidth="1"/>
  </cols>
  <sheetData>
    <row r="1" spans="1:19" ht="26.25">
      <c r="A1" s="245" t="s">
        <v>28</v>
      </c>
    </row>
    <row r="3" spans="1:19" ht="24" customHeight="1">
      <c r="A3" s="232" t="s">
        <v>29</v>
      </c>
      <c r="B3" s="233"/>
      <c r="C3" s="233"/>
      <c r="D3" s="233"/>
      <c r="E3" s="233"/>
      <c r="F3" s="233"/>
      <c r="G3" s="233"/>
      <c r="H3" s="233"/>
      <c r="I3" s="233"/>
      <c r="J3" s="233"/>
      <c r="K3" s="233"/>
      <c r="L3" s="233"/>
      <c r="M3" s="233"/>
      <c r="N3" s="233"/>
      <c r="O3" s="233"/>
      <c r="P3" s="233"/>
      <c r="Q3" s="233"/>
      <c r="R3" s="233"/>
      <c r="S3" s="234"/>
    </row>
    <row r="4" spans="1:19" ht="38.25">
      <c r="A4" s="206" t="s">
        <v>30</v>
      </c>
      <c r="B4" s="207" t="s">
        <v>31</v>
      </c>
      <c r="C4" s="206" t="s">
        <v>32</v>
      </c>
      <c r="D4" s="207" t="s">
        <v>33</v>
      </c>
      <c r="E4" s="207" t="s">
        <v>34</v>
      </c>
      <c r="F4" s="208" t="s">
        <v>35</v>
      </c>
      <c r="G4" s="209" t="s">
        <v>36</v>
      </c>
      <c r="H4" s="209" t="s">
        <v>37</v>
      </c>
      <c r="I4" s="209" t="s">
        <v>38</v>
      </c>
      <c r="J4" s="209" t="s">
        <v>39</v>
      </c>
      <c r="K4" s="209" t="s">
        <v>40</v>
      </c>
      <c r="L4" s="209" t="s">
        <v>41</v>
      </c>
      <c r="M4" s="209" t="s">
        <v>42</v>
      </c>
      <c r="N4" s="209" t="s">
        <v>43</v>
      </c>
      <c r="O4" s="210" t="s">
        <v>44</v>
      </c>
      <c r="P4" s="211" t="s">
        <v>45</v>
      </c>
      <c r="Q4" s="208" t="s">
        <v>46</v>
      </c>
      <c r="R4" s="209" t="s">
        <v>47</v>
      </c>
      <c r="S4" s="209" t="s">
        <v>48</v>
      </c>
    </row>
    <row r="5" spans="1:19" ht="87" customHeight="1">
      <c r="A5" s="212"/>
      <c r="B5" s="213"/>
      <c r="C5" s="212"/>
      <c r="D5" s="213"/>
      <c r="E5" s="213"/>
      <c r="F5" s="213" t="s">
        <v>49</v>
      </c>
      <c r="G5" s="213" t="s">
        <v>50</v>
      </c>
      <c r="H5" s="213" t="s">
        <v>51</v>
      </c>
      <c r="I5" s="213" t="s">
        <v>52</v>
      </c>
      <c r="J5" s="213" t="s">
        <v>53</v>
      </c>
      <c r="K5" s="213" t="s">
        <v>54</v>
      </c>
      <c r="L5" s="213" t="s">
        <v>55</v>
      </c>
      <c r="M5" s="213" t="s">
        <v>33</v>
      </c>
      <c r="N5" s="213" t="s">
        <v>34</v>
      </c>
      <c r="O5" s="213" t="s">
        <v>56</v>
      </c>
      <c r="P5" s="213" t="s">
        <v>56</v>
      </c>
      <c r="Q5" s="213" t="s">
        <v>33</v>
      </c>
      <c r="R5" s="213" t="s">
        <v>34</v>
      </c>
      <c r="S5" s="213" t="s">
        <v>57</v>
      </c>
    </row>
    <row r="6" spans="1:19">
      <c r="A6" s="214" t="s">
        <v>58</v>
      </c>
      <c r="B6" s="214" t="s">
        <v>59</v>
      </c>
      <c r="C6" s="214" t="s">
        <v>60</v>
      </c>
      <c r="D6" s="215">
        <v>1</v>
      </c>
      <c r="E6" s="214" t="s">
        <v>61</v>
      </c>
      <c r="F6" s="216">
        <v>0</v>
      </c>
      <c r="G6" s="216">
        <v>0</v>
      </c>
      <c r="H6" s="216">
        <v>0</v>
      </c>
      <c r="I6" s="217">
        <v>0</v>
      </c>
      <c r="J6" s="216">
        <v>0</v>
      </c>
      <c r="K6" s="216">
        <v>0</v>
      </c>
      <c r="L6" s="216">
        <v>0</v>
      </c>
      <c r="M6" s="215"/>
      <c r="N6" s="214"/>
      <c r="O6" s="216"/>
      <c r="P6" s="216"/>
      <c r="Q6" s="215"/>
      <c r="R6" s="214"/>
      <c r="S6" s="218">
        <f>-3*'Unit Conversions'!$C$6/1000</f>
        <v>-6.6138678655463272E-3</v>
      </c>
    </row>
    <row r="7" spans="1:19">
      <c r="A7" s="214" t="s">
        <v>62</v>
      </c>
      <c r="B7" s="214" t="s">
        <v>63</v>
      </c>
      <c r="C7" s="214" t="s">
        <v>64</v>
      </c>
      <c r="D7" s="215">
        <v>1</v>
      </c>
      <c r="E7" s="214" t="s">
        <v>61</v>
      </c>
      <c r="F7" s="216">
        <v>0.15254829529664701</v>
      </c>
      <c r="G7" s="216">
        <v>1.7331515601205799E-2</v>
      </c>
      <c r="H7" s="216">
        <v>7.07029070242936E-4</v>
      </c>
      <c r="I7" s="217">
        <v>1.9700282962089599</v>
      </c>
      <c r="J7" s="216">
        <v>7.0084441212156197E-10</v>
      </c>
      <c r="K7" s="216">
        <v>1.0710744740151199E-3</v>
      </c>
      <c r="L7" s="216">
        <v>-4.6809846654360001</v>
      </c>
      <c r="M7" s="215">
        <v>1.92785537585238</v>
      </c>
      <c r="N7" s="214" t="s">
        <v>65</v>
      </c>
      <c r="O7" s="216">
        <v>1.7987599999999999</v>
      </c>
      <c r="P7" s="216">
        <v>1.79875569616862</v>
      </c>
      <c r="Q7" s="215">
        <v>1.92785537585238</v>
      </c>
      <c r="R7" s="214" t="s">
        <v>65</v>
      </c>
      <c r="S7" s="218"/>
    </row>
    <row r="8" spans="1:19">
      <c r="A8" s="214" t="s">
        <v>66</v>
      </c>
      <c r="B8" s="214" t="s">
        <v>63</v>
      </c>
      <c r="C8" s="214" t="s">
        <v>64</v>
      </c>
      <c r="D8" s="215">
        <v>1</v>
      </c>
      <c r="E8" s="214" t="s">
        <v>61</v>
      </c>
      <c r="F8" s="216">
        <v>0.63739707609529295</v>
      </c>
      <c r="G8" s="216">
        <v>1.8243851190236401E-2</v>
      </c>
      <c r="H8" s="216">
        <v>9.1620870702584299E-4</v>
      </c>
      <c r="I8" s="217">
        <v>10.777652510514899</v>
      </c>
      <c r="J8" s="216">
        <v>1.6033306393610601E-7</v>
      </c>
      <c r="K8" s="216">
        <v>1.2451019298360801E-3</v>
      </c>
      <c r="L8" s="216">
        <v>-2.94466358793564</v>
      </c>
      <c r="M8" s="215">
        <v>14.705882352941176</v>
      </c>
      <c r="N8" s="214" t="s">
        <v>67</v>
      </c>
      <c r="O8" s="216">
        <v>10.68704</v>
      </c>
      <c r="P8" s="216">
        <v>10.6870351783885</v>
      </c>
      <c r="Q8" s="215">
        <v>14.705882352941176</v>
      </c>
      <c r="R8" s="214" t="s">
        <v>67</v>
      </c>
      <c r="S8" s="218"/>
    </row>
    <row r="9" spans="1:19">
      <c r="A9" s="214" t="s">
        <v>68</v>
      </c>
      <c r="B9" s="214" t="s">
        <v>63</v>
      </c>
      <c r="C9" s="214" t="s">
        <v>69</v>
      </c>
      <c r="D9" s="215">
        <v>1</v>
      </c>
      <c r="E9" s="214" t="s">
        <v>61</v>
      </c>
      <c r="F9" s="216">
        <v>2.0109999999999999E-2</v>
      </c>
      <c r="G9" s="216">
        <v>2.1199999999999999E-3</v>
      </c>
      <c r="H9" s="216">
        <v>1.8000000000000001E-4</v>
      </c>
      <c r="I9" s="217">
        <v>-1.0366200000000001</v>
      </c>
      <c r="J9" s="216">
        <v>2.1501099999999999E-11</v>
      </c>
      <c r="K9" s="216">
        <v>1.1E-4</v>
      </c>
      <c r="L9" s="216">
        <v>433.41689000000002</v>
      </c>
      <c r="M9" s="215"/>
      <c r="N9" s="214"/>
      <c r="O9" s="216">
        <v>-1.0398099999999999</v>
      </c>
      <c r="P9" s="216">
        <v>-1.0398099999999999</v>
      </c>
      <c r="Q9" s="215"/>
      <c r="R9" s="214"/>
      <c r="S9" s="218"/>
    </row>
    <row r="10" spans="1:19">
      <c r="A10" s="214" t="s">
        <v>70</v>
      </c>
      <c r="B10" s="214" t="s">
        <v>59</v>
      </c>
      <c r="C10" s="214" t="s">
        <v>60</v>
      </c>
      <c r="D10" s="215">
        <v>1</v>
      </c>
      <c r="E10" s="214" t="s">
        <v>61</v>
      </c>
      <c r="F10" s="216">
        <v>0</v>
      </c>
      <c r="G10" s="216">
        <v>0</v>
      </c>
      <c r="H10" s="216">
        <v>0</v>
      </c>
      <c r="I10" s="217">
        <v>0</v>
      </c>
      <c r="J10" s="216">
        <v>0</v>
      </c>
      <c r="K10" s="216">
        <v>0</v>
      </c>
      <c r="L10" s="216">
        <v>0</v>
      </c>
      <c r="M10" s="215"/>
      <c r="N10" s="214"/>
      <c r="O10" s="216"/>
      <c r="P10" s="216"/>
      <c r="Q10" s="215"/>
      <c r="R10" s="214"/>
      <c r="S10" s="218">
        <f>-3*'Unit Conversions'!$C$6/1000</f>
        <v>-6.6138678655463272E-3</v>
      </c>
    </row>
    <row r="11" spans="1:19">
      <c r="A11" s="214" t="s">
        <v>71</v>
      </c>
      <c r="B11" s="214" t="s">
        <v>63</v>
      </c>
      <c r="C11" s="214" t="s">
        <v>72</v>
      </c>
      <c r="D11" s="215">
        <v>1</v>
      </c>
      <c r="E11" s="214" t="s">
        <v>61</v>
      </c>
      <c r="F11" s="216">
        <v>2.8946480082003401E-2</v>
      </c>
      <c r="G11" s="216">
        <v>2.7921332166698999E-3</v>
      </c>
      <c r="H11" s="216">
        <v>7.7674255240673895E-5</v>
      </c>
      <c r="I11" s="217">
        <v>0.81976994236096401</v>
      </c>
      <c r="J11" s="216">
        <v>8.2052438514342093E-9</v>
      </c>
      <c r="K11" s="216">
        <v>1.5194759195630501E-4</v>
      </c>
      <c r="L11" s="216">
        <v>2.5868205181716002</v>
      </c>
      <c r="M11" s="215"/>
      <c r="N11" s="214"/>
      <c r="O11" s="216">
        <v>0.76668308051196399</v>
      </c>
      <c r="P11" s="216">
        <v>0.76668308051196399</v>
      </c>
      <c r="Q11" s="215"/>
      <c r="R11" s="214"/>
      <c r="S11" s="218"/>
    </row>
    <row r="12" spans="1:19">
      <c r="A12" s="214" t="s">
        <v>73</v>
      </c>
      <c r="B12" s="214" t="s">
        <v>59</v>
      </c>
      <c r="C12" s="214" t="s">
        <v>69</v>
      </c>
      <c r="D12" s="215">
        <v>1</v>
      </c>
      <c r="E12" s="214" t="s">
        <v>61</v>
      </c>
      <c r="F12" s="216">
        <v>0</v>
      </c>
      <c r="G12" s="216">
        <v>0</v>
      </c>
      <c r="H12" s="216">
        <v>0</v>
      </c>
      <c r="I12" s="217">
        <v>0</v>
      </c>
      <c r="J12" s="216">
        <v>0</v>
      </c>
      <c r="K12" s="216">
        <v>0</v>
      </c>
      <c r="L12" s="216">
        <v>0</v>
      </c>
      <c r="M12" s="215"/>
      <c r="N12" s="214"/>
      <c r="O12" s="216"/>
      <c r="P12" s="216"/>
      <c r="Q12" s="215"/>
      <c r="R12" s="214"/>
      <c r="S12" s="218">
        <f>238119/1000/1000</f>
        <v>0.238119</v>
      </c>
    </row>
    <row r="13" spans="1:19">
      <c r="A13" s="214" t="s">
        <v>74</v>
      </c>
      <c r="B13" s="214" t="s">
        <v>63</v>
      </c>
      <c r="C13" s="214" t="s">
        <v>69</v>
      </c>
      <c r="D13" s="215">
        <v>1</v>
      </c>
      <c r="E13" s="214" t="s">
        <v>61</v>
      </c>
      <c r="F13" s="216">
        <v>7.9000000000000001E-4</v>
      </c>
      <c r="G13" s="216">
        <v>8.4821999999999995E-5</v>
      </c>
      <c r="H13" s="216">
        <v>2.68119E-6</v>
      </c>
      <c r="I13" s="217">
        <v>-0.93283000000000005</v>
      </c>
      <c r="J13" s="216">
        <v>4.6401299999999997E-13</v>
      </c>
      <c r="K13" s="216">
        <v>1.46345E-5</v>
      </c>
      <c r="L13" s="216">
        <v>0.56449000000000005</v>
      </c>
      <c r="M13" s="215"/>
      <c r="N13" s="214"/>
      <c r="O13" s="216">
        <v>-0.93396000000000001</v>
      </c>
      <c r="P13" s="216">
        <v>-0.93396000000000001</v>
      </c>
      <c r="Q13" s="215"/>
      <c r="R13" s="214"/>
      <c r="S13" s="218"/>
    </row>
    <row r="14" spans="1:19">
      <c r="A14" s="214" t="s">
        <v>75</v>
      </c>
      <c r="B14" s="214" t="s">
        <v>63</v>
      </c>
      <c r="C14" s="214" t="s">
        <v>69</v>
      </c>
      <c r="D14" s="215">
        <v>1</v>
      </c>
      <c r="E14" s="214" t="s">
        <v>61</v>
      </c>
      <c r="F14" s="216">
        <v>0</v>
      </c>
      <c r="G14" s="216">
        <v>0</v>
      </c>
      <c r="H14" s="216">
        <v>0</v>
      </c>
      <c r="I14" s="217">
        <v>-0.98689000000000004</v>
      </c>
      <c r="J14" s="216">
        <v>0</v>
      </c>
      <c r="K14" s="216">
        <v>0</v>
      </c>
      <c r="L14" s="216">
        <v>0</v>
      </c>
      <c r="M14" s="215"/>
      <c r="N14" s="214"/>
      <c r="O14" s="216">
        <v>-0.98689000000000004</v>
      </c>
      <c r="P14" s="216">
        <v>-0.98689000000000004</v>
      </c>
      <c r="Q14" s="215"/>
      <c r="R14" s="214"/>
      <c r="S14" s="218"/>
    </row>
    <row r="15" spans="1:19">
      <c r="A15" s="214" t="s">
        <v>76</v>
      </c>
      <c r="B15" s="214" t="s">
        <v>63</v>
      </c>
      <c r="C15" s="214" t="s">
        <v>69</v>
      </c>
      <c r="D15" s="215">
        <v>1</v>
      </c>
      <c r="E15" s="214" t="s">
        <v>61</v>
      </c>
      <c r="F15" s="216">
        <v>9.5499999999999995E-3</v>
      </c>
      <c r="G15" s="216">
        <v>3.8999999999999999E-4</v>
      </c>
      <c r="H15" s="216">
        <v>2.1185699999999999E-5</v>
      </c>
      <c r="I15" s="217">
        <v>-1.17676</v>
      </c>
      <c r="J15" s="216">
        <v>1.3708799999999999E-12</v>
      </c>
      <c r="K15" s="216">
        <v>3.0193200000000001E-5</v>
      </c>
      <c r="L15" s="216">
        <v>1.0969800000000001</v>
      </c>
      <c r="M15" s="215"/>
      <c r="N15" s="214"/>
      <c r="O15" s="216">
        <v>-1.1839299999999999</v>
      </c>
      <c r="P15" s="216">
        <v>-1.1839299999999999</v>
      </c>
      <c r="Q15" s="215"/>
      <c r="R15" s="214"/>
      <c r="S15" s="218"/>
    </row>
    <row r="16" spans="1:19">
      <c r="A16" s="214" t="s">
        <v>77</v>
      </c>
      <c r="B16" s="214" t="s">
        <v>63</v>
      </c>
      <c r="C16" s="214" t="s">
        <v>78</v>
      </c>
      <c r="D16" s="215">
        <v>1</v>
      </c>
      <c r="E16" s="214" t="s">
        <v>61</v>
      </c>
      <c r="F16" s="216">
        <v>2.6702370166372901E-2</v>
      </c>
      <c r="G16" s="216">
        <v>2.6876567364667102E-3</v>
      </c>
      <c r="H16" s="216">
        <v>7.6129800864270993E-5</v>
      </c>
      <c r="I16" s="217">
        <v>0.84041334027888803</v>
      </c>
      <c r="J16" s="216">
        <v>1.09794783916419E-8</v>
      </c>
      <c r="K16" s="216">
        <v>1.4898082564635001E-4</v>
      </c>
      <c r="L16" s="216">
        <v>55.5426147269377</v>
      </c>
      <c r="M16" s="215"/>
      <c r="N16" s="214"/>
      <c r="O16" s="216">
        <v>0.78820890096686402</v>
      </c>
      <c r="P16" s="216">
        <v>0.78820890096686402</v>
      </c>
      <c r="Q16" s="215"/>
      <c r="R16" s="214"/>
      <c r="S16" s="218"/>
    </row>
    <row r="17" spans="1:19">
      <c r="A17" s="214" t="s">
        <v>79</v>
      </c>
      <c r="B17" s="214" t="s">
        <v>63</v>
      </c>
      <c r="C17" s="214" t="s">
        <v>69</v>
      </c>
      <c r="D17" s="215">
        <v>1</v>
      </c>
      <c r="E17" s="214" t="s">
        <v>61</v>
      </c>
      <c r="F17" s="216">
        <v>1.17E-2</v>
      </c>
      <c r="G17" s="216">
        <v>9.6000000000000002E-4</v>
      </c>
      <c r="H17" s="216">
        <v>5.4527899999999997E-5</v>
      </c>
      <c r="I17" s="217">
        <v>-0.73987999999999998</v>
      </c>
      <c r="J17" s="216">
        <v>9.0852600000000003E-11</v>
      </c>
      <c r="K17" s="216">
        <v>5.3216700000000002E-5</v>
      </c>
      <c r="L17" s="216">
        <v>884.23820999999998</v>
      </c>
      <c r="M17" s="215"/>
      <c r="N17" s="214"/>
      <c r="O17" s="216">
        <v>-0.74312</v>
      </c>
      <c r="P17" s="216">
        <v>-0.74312</v>
      </c>
      <c r="Q17" s="215"/>
      <c r="R17" s="214"/>
      <c r="S17" s="218"/>
    </row>
    <row r="18" spans="1:19">
      <c r="A18" s="214" t="s">
        <v>80</v>
      </c>
      <c r="B18" s="214" t="s">
        <v>63</v>
      </c>
      <c r="C18" s="214" t="s">
        <v>69</v>
      </c>
      <c r="D18" s="215">
        <v>1</v>
      </c>
      <c r="E18" s="214" t="s">
        <v>61</v>
      </c>
      <c r="F18" s="216">
        <v>1.091E-2</v>
      </c>
      <c r="G18" s="216">
        <v>8.7000000000000001E-4</v>
      </c>
      <c r="H18" s="216">
        <v>5.1846099999999998E-5</v>
      </c>
      <c r="I18" s="217">
        <v>-0.79395000000000004</v>
      </c>
      <c r="J18" s="216">
        <v>9.0387500000000002E-11</v>
      </c>
      <c r="K18" s="216">
        <v>3.8581699999999997E-5</v>
      </c>
      <c r="L18" s="216">
        <v>883.66310999999996</v>
      </c>
      <c r="M18" s="215"/>
      <c r="N18" s="214"/>
      <c r="O18" s="216">
        <v>-0.79605999999999999</v>
      </c>
      <c r="P18" s="216">
        <v>-0.79605999999999999</v>
      </c>
      <c r="Q18" s="215"/>
      <c r="R18" s="214"/>
      <c r="S18" s="218"/>
    </row>
    <row r="19" spans="1:19">
      <c r="A19" s="214" t="s">
        <v>81</v>
      </c>
      <c r="B19" s="214" t="s">
        <v>63</v>
      </c>
      <c r="C19" s="214" t="s">
        <v>69</v>
      </c>
      <c r="D19" s="215">
        <v>1</v>
      </c>
      <c r="E19" s="214" t="s">
        <v>61</v>
      </c>
      <c r="F19" s="216">
        <v>2.8930000000000001E-2</v>
      </c>
      <c r="G19" s="216">
        <v>1.9400000000000001E-3</v>
      </c>
      <c r="H19" s="216">
        <v>1.1E-4</v>
      </c>
      <c r="I19" s="217">
        <v>-0.83384000000000003</v>
      </c>
      <c r="J19" s="216">
        <v>1.6201899999999999E-10</v>
      </c>
      <c r="K19" s="216">
        <v>9.8765399999999995E-5</v>
      </c>
      <c r="L19" s="216">
        <v>1571.6502700000001</v>
      </c>
      <c r="M19" s="215"/>
      <c r="N19" s="214"/>
      <c r="O19" s="216">
        <v>-0.84475999999999996</v>
      </c>
      <c r="P19" s="216">
        <v>-0.84475999999999996</v>
      </c>
      <c r="Q19" s="215"/>
      <c r="R19" s="214"/>
      <c r="S19" s="218"/>
    </row>
    <row r="20" spans="1:19">
      <c r="A20" s="214" t="s">
        <v>82</v>
      </c>
      <c r="B20" s="214" t="s">
        <v>63</v>
      </c>
      <c r="C20" s="214" t="s">
        <v>83</v>
      </c>
      <c r="D20" s="215">
        <v>1</v>
      </c>
      <c r="E20" s="214" t="s">
        <v>61</v>
      </c>
      <c r="F20" s="216">
        <v>0.31803793035358002</v>
      </c>
      <c r="G20" s="216">
        <v>1.08701949930348E-2</v>
      </c>
      <c r="H20" s="216">
        <v>7.7060062140435698E-4</v>
      </c>
      <c r="I20" s="217">
        <v>8.0340960907869903</v>
      </c>
      <c r="J20" s="216">
        <v>3.6178262045268703E-11</v>
      </c>
      <c r="K20" s="216">
        <v>-7.6950656506973906E-5</v>
      </c>
      <c r="L20" s="216">
        <v>-6.7242530479759699</v>
      </c>
      <c r="M20" s="215"/>
      <c r="N20" s="214"/>
      <c r="O20" s="216">
        <v>7.6045199999999999</v>
      </c>
      <c r="P20" s="216">
        <v>7.7642193659357197</v>
      </c>
      <c r="Q20" s="215"/>
      <c r="R20" s="214"/>
      <c r="S20" s="218"/>
    </row>
    <row r="21" spans="1:19">
      <c r="A21" s="214" t="s">
        <v>84</v>
      </c>
      <c r="B21" s="214" t="s">
        <v>63</v>
      </c>
      <c r="C21" s="214" t="s">
        <v>85</v>
      </c>
      <c r="D21" s="215">
        <v>1</v>
      </c>
      <c r="E21" s="214" t="s">
        <v>61</v>
      </c>
      <c r="F21" s="216">
        <v>9.1132143967465801E-2</v>
      </c>
      <c r="G21" s="216">
        <v>2.59087780036503E-3</v>
      </c>
      <c r="H21" s="216">
        <v>1.9557771758564501E-4</v>
      </c>
      <c r="I21" s="217">
        <v>1.1344180399708099</v>
      </c>
      <c r="J21" s="216">
        <v>8.3717737547622603E-12</v>
      </c>
      <c r="K21" s="216">
        <v>3.0475042563380499E-5</v>
      </c>
      <c r="L21" s="216">
        <v>0.43725369678285703</v>
      </c>
      <c r="M21" s="215"/>
      <c r="N21" s="214"/>
      <c r="O21" s="216">
        <v>1.0021598336299999</v>
      </c>
      <c r="P21" s="216">
        <v>1.0021577620192601</v>
      </c>
      <c r="Q21" s="215"/>
      <c r="R21" s="214"/>
      <c r="S21" s="218"/>
    </row>
    <row r="22" spans="1:19">
      <c r="A22" s="214" t="s">
        <v>86</v>
      </c>
      <c r="B22" s="214" t="s">
        <v>59</v>
      </c>
      <c r="C22" s="214" t="s">
        <v>87</v>
      </c>
      <c r="D22" s="215">
        <v>1</v>
      </c>
      <c r="E22" s="214" t="s">
        <v>61</v>
      </c>
      <c r="F22" s="216"/>
      <c r="G22" s="216"/>
      <c r="H22" s="216"/>
      <c r="I22" s="217">
        <v>0</v>
      </c>
      <c r="J22" s="216"/>
      <c r="K22" s="216"/>
      <c r="L22" s="216"/>
      <c r="M22" s="215"/>
      <c r="N22" s="214"/>
      <c r="O22" s="216"/>
      <c r="P22" s="216"/>
      <c r="Q22" s="215"/>
      <c r="R22" s="214"/>
      <c r="S22" s="219">
        <f>B110</f>
        <v>8.626787867083938E-3</v>
      </c>
    </row>
    <row r="23" spans="1:19">
      <c r="A23" s="214" t="s">
        <v>88</v>
      </c>
      <c r="B23" s="214" t="s">
        <v>63</v>
      </c>
      <c r="C23" s="214" t="s">
        <v>89</v>
      </c>
      <c r="D23" s="215">
        <v>1</v>
      </c>
      <c r="E23" s="214" t="s">
        <v>61</v>
      </c>
      <c r="F23" s="216">
        <v>0.11881108545581601</v>
      </c>
      <c r="G23" s="216">
        <v>3.3741275370364702E-3</v>
      </c>
      <c r="H23" s="216">
        <v>2.4888300949780303E-4</v>
      </c>
      <c r="I23" s="217">
        <v>0.69800799867890595</v>
      </c>
      <c r="J23" s="216">
        <v>1.18375461190878E-11</v>
      </c>
      <c r="K23" s="216">
        <v>3.9926502931263798E-5</v>
      </c>
      <c r="L23" s="216">
        <v>1.6734337775477099</v>
      </c>
      <c r="M23" s="215"/>
      <c r="N23" s="214"/>
      <c r="O23" s="216">
        <v>0.54415747906422895</v>
      </c>
      <c r="P23" s="216">
        <v>0.54415747906422895</v>
      </c>
      <c r="Q23" s="215"/>
      <c r="R23" s="214"/>
      <c r="S23" s="218"/>
    </row>
    <row r="24" spans="1:19">
      <c r="A24" s="214" t="s">
        <v>90</v>
      </c>
      <c r="B24" s="214" t="s">
        <v>63</v>
      </c>
      <c r="C24" s="214" t="s">
        <v>89</v>
      </c>
      <c r="D24" s="215">
        <v>1</v>
      </c>
      <c r="E24" s="214" t="s">
        <v>61</v>
      </c>
      <c r="F24" s="216">
        <v>0.11798819266098701</v>
      </c>
      <c r="G24" s="216">
        <v>3.35786295799084E-3</v>
      </c>
      <c r="H24" s="216">
        <v>2.47704047832373E-4</v>
      </c>
      <c r="I24" s="217">
        <v>0.54915428412309597</v>
      </c>
      <c r="J24" s="216">
        <v>1.1781459247346401E-11</v>
      </c>
      <c r="K24" s="216">
        <v>3.9737363946221897E-5</v>
      </c>
      <c r="L24" s="216">
        <v>1.66509607816933</v>
      </c>
      <c r="M24" s="215"/>
      <c r="N24" s="214"/>
      <c r="O24" s="216">
        <v>0.44047821307506002</v>
      </c>
      <c r="P24" s="216">
        <v>0.44047821307506002</v>
      </c>
      <c r="Q24" s="215"/>
      <c r="R24" s="214"/>
      <c r="S24" s="218"/>
    </row>
    <row r="25" spans="1:19">
      <c r="A25" s="214" t="s">
        <v>91</v>
      </c>
      <c r="B25" s="214" t="s">
        <v>63</v>
      </c>
      <c r="C25" s="214" t="s">
        <v>92</v>
      </c>
      <c r="D25" s="215">
        <v>1</v>
      </c>
      <c r="E25" s="214" t="s">
        <v>61</v>
      </c>
      <c r="F25" s="216">
        <v>6.5594567260640196E-3</v>
      </c>
      <c r="G25" s="216">
        <v>3.63796181479898E-4</v>
      </c>
      <c r="H25" s="216">
        <v>1.2469439782988399E-5</v>
      </c>
      <c r="I25" s="217">
        <v>0.113932561824428</v>
      </c>
      <c r="J25" s="216">
        <v>1.21128312834307E-11</v>
      </c>
      <c r="K25" s="216">
        <v>1.5561601492644499E-5</v>
      </c>
      <c r="L25" s="216">
        <v>140.75222015242699</v>
      </c>
      <c r="M25" s="215"/>
      <c r="N25" s="214"/>
      <c r="O25" s="216">
        <v>0.110590964479395</v>
      </c>
      <c r="P25" s="216">
        <v>0.110590964479395</v>
      </c>
      <c r="Q25" s="215"/>
      <c r="R25" s="214"/>
      <c r="S25" s="218"/>
    </row>
    <row r="26" spans="1:19">
      <c r="A26" s="214" t="s">
        <v>93</v>
      </c>
      <c r="B26" s="214" t="s">
        <v>59</v>
      </c>
      <c r="C26" s="214" t="s">
        <v>69</v>
      </c>
      <c r="D26" s="215">
        <v>1</v>
      </c>
      <c r="E26" s="214" t="s">
        <v>61</v>
      </c>
      <c r="F26" s="216">
        <v>0</v>
      </c>
      <c r="G26" s="216">
        <v>0</v>
      </c>
      <c r="H26" s="216">
        <v>0</v>
      </c>
      <c r="I26" s="217">
        <v>0</v>
      </c>
      <c r="J26" s="216">
        <v>0</v>
      </c>
      <c r="K26" s="216">
        <v>0</v>
      </c>
      <c r="L26" s="216">
        <v>0</v>
      </c>
      <c r="M26" s="215"/>
      <c r="N26" s="214"/>
      <c r="O26" s="216"/>
      <c r="P26" s="216"/>
      <c r="Q26" s="215"/>
      <c r="R26" s="214"/>
      <c r="S26" s="218">
        <f>412/1000</f>
        <v>0.41199999999999998</v>
      </c>
    </row>
    <row r="27" spans="1:19">
      <c r="A27" s="214" t="s">
        <v>94</v>
      </c>
      <c r="B27" s="214" t="s">
        <v>63</v>
      </c>
      <c r="C27" s="214" t="s">
        <v>69</v>
      </c>
      <c r="D27" s="215">
        <v>1</v>
      </c>
      <c r="E27" s="214" t="s">
        <v>61</v>
      </c>
      <c r="F27" s="216">
        <v>7.5900000000000004E-3</v>
      </c>
      <c r="G27" s="216">
        <v>6.4000000000000005E-4</v>
      </c>
      <c r="H27" s="216">
        <v>3.5765700000000002E-5</v>
      </c>
      <c r="I27" s="217">
        <v>-0.77800999999999998</v>
      </c>
      <c r="J27" s="216">
        <v>5.3916300000000003E-11</v>
      </c>
      <c r="K27" s="216">
        <v>3.8321700000000003E-5</v>
      </c>
      <c r="L27" s="216">
        <v>457.45641999999998</v>
      </c>
      <c r="M27" s="215"/>
      <c r="N27" s="214"/>
      <c r="O27" s="216">
        <v>-0.78076999999999996</v>
      </c>
      <c r="P27" s="216">
        <v>-0.78076999999999996</v>
      </c>
      <c r="Q27" s="215"/>
      <c r="R27" s="214"/>
      <c r="S27" s="218"/>
    </row>
    <row r="28" spans="1:19">
      <c r="A28" s="214" t="s">
        <v>95</v>
      </c>
      <c r="B28" s="214" t="s">
        <v>63</v>
      </c>
      <c r="C28" s="214" t="s">
        <v>69</v>
      </c>
      <c r="D28" s="215">
        <v>1</v>
      </c>
      <c r="E28" s="214" t="s">
        <v>61</v>
      </c>
      <c r="F28" s="216">
        <v>6.7999999999999996E-3</v>
      </c>
      <c r="G28" s="216">
        <v>5.5000000000000003E-4</v>
      </c>
      <c r="H28" s="216">
        <v>3.3084099999999997E-5</v>
      </c>
      <c r="I28" s="217">
        <v>-0.83208000000000004</v>
      </c>
      <c r="J28" s="216">
        <v>5.34516E-11</v>
      </c>
      <c r="K28" s="216">
        <v>2.3686899999999998E-5</v>
      </c>
      <c r="L28" s="216">
        <v>456.88645000000002</v>
      </c>
      <c r="M28" s="215"/>
      <c r="N28" s="214"/>
      <c r="O28" s="216">
        <v>-0.83370999999999995</v>
      </c>
      <c r="P28" s="216">
        <v>-0.83370999999999995</v>
      </c>
      <c r="Q28" s="215"/>
      <c r="R28" s="214"/>
      <c r="S28" s="218"/>
    </row>
    <row r="29" spans="1:19">
      <c r="A29" s="214" t="s">
        <v>96</v>
      </c>
      <c r="B29" s="214" t="s">
        <v>63</v>
      </c>
      <c r="C29" s="214" t="s">
        <v>69</v>
      </c>
      <c r="D29" s="215">
        <v>1</v>
      </c>
      <c r="E29" s="214" t="s">
        <v>61</v>
      </c>
      <c r="F29" s="216">
        <v>2.163E-2</v>
      </c>
      <c r="G29" s="216">
        <v>1.3699999999999999E-3</v>
      </c>
      <c r="H29" s="216">
        <v>7.9986800000000005E-5</v>
      </c>
      <c r="I29" s="217">
        <v>-0.90161000000000002</v>
      </c>
      <c r="J29" s="216">
        <v>9.6371600000000005E-11</v>
      </c>
      <c r="K29" s="216">
        <v>7.2292499999999999E-5</v>
      </c>
      <c r="L29" s="216">
        <v>813.13099999999997</v>
      </c>
      <c r="M29" s="215"/>
      <c r="N29" s="214"/>
      <c r="O29" s="216">
        <v>-0.91168000000000005</v>
      </c>
      <c r="P29" s="216">
        <v>-0.91168000000000005</v>
      </c>
      <c r="Q29" s="215"/>
      <c r="R29" s="214"/>
      <c r="S29" s="218"/>
    </row>
    <row r="30" spans="1:19">
      <c r="A30" s="214" t="s">
        <v>97</v>
      </c>
      <c r="B30" s="214" t="s">
        <v>63</v>
      </c>
      <c r="C30" s="214" t="s">
        <v>98</v>
      </c>
      <c r="D30" s="215">
        <v>1</v>
      </c>
      <c r="E30" s="214" t="s">
        <v>61</v>
      </c>
      <c r="F30" s="216">
        <v>0.125030947200753</v>
      </c>
      <c r="G30" s="216">
        <v>7.0972068000000003E-3</v>
      </c>
      <c r="H30" s="216">
        <v>2.4733643539999998E-4</v>
      </c>
      <c r="I30" s="217">
        <v>2.35670804</v>
      </c>
      <c r="J30" s="216">
        <v>0</v>
      </c>
      <c r="K30" s="216">
        <v>2.3969643881992001E-4</v>
      </c>
      <c r="L30" s="216">
        <v>24.754740000000002</v>
      </c>
      <c r="M30" s="215"/>
      <c r="N30" s="214"/>
      <c r="O30" s="216">
        <v>2.29962</v>
      </c>
      <c r="P30" s="216">
        <v>2.2996180399999999</v>
      </c>
      <c r="Q30" s="215"/>
      <c r="R30" s="214"/>
      <c r="S30" s="218"/>
    </row>
    <row r="31" spans="1:19">
      <c r="A31" s="214" t="s">
        <v>99</v>
      </c>
      <c r="B31" s="214" t="s">
        <v>63</v>
      </c>
      <c r="C31" s="214" t="s">
        <v>69</v>
      </c>
      <c r="D31" s="215">
        <v>1</v>
      </c>
      <c r="E31" s="214" t="s">
        <v>61</v>
      </c>
      <c r="F31" s="216">
        <v>2.4129999999999999E-2</v>
      </c>
      <c r="G31" s="216">
        <v>2.4299999999999999E-3</v>
      </c>
      <c r="H31" s="216">
        <v>1.7000000000000001E-4</v>
      </c>
      <c r="I31" s="217">
        <v>-0.79129000000000005</v>
      </c>
      <c r="J31" s="216">
        <v>4.0346700000000003E-11</v>
      </c>
      <c r="K31" s="216">
        <v>4.0999999999999999E-4</v>
      </c>
      <c r="L31" s="216">
        <v>599.56187</v>
      </c>
      <c r="M31" s="215"/>
      <c r="N31" s="214"/>
      <c r="O31" s="216">
        <v>-0.79307000000000005</v>
      </c>
      <c r="P31" s="216">
        <v>-0.79307000000000005</v>
      </c>
      <c r="Q31" s="215"/>
      <c r="R31" s="214"/>
      <c r="S31" s="218"/>
    </row>
    <row r="32" spans="1:19">
      <c r="A32" s="214" t="s">
        <v>100</v>
      </c>
      <c r="B32" s="214" t="s">
        <v>63</v>
      </c>
      <c r="C32" s="214" t="s">
        <v>101</v>
      </c>
      <c r="D32" s="215">
        <v>1</v>
      </c>
      <c r="E32" s="214" t="s">
        <v>61</v>
      </c>
      <c r="F32" s="216">
        <v>7.0230000000000001E-2</v>
      </c>
      <c r="G32" s="216">
        <v>3.1800000000000001E-3</v>
      </c>
      <c r="H32" s="216">
        <v>1.2E-4</v>
      </c>
      <c r="I32" s="217">
        <v>1.28973</v>
      </c>
      <c r="J32" s="216">
        <v>0</v>
      </c>
      <c r="K32" s="216">
        <v>2.5000000000000001E-4</v>
      </c>
      <c r="L32" s="216">
        <v>4.8700400000000004</v>
      </c>
      <c r="M32" s="215"/>
      <c r="N32" s="214"/>
      <c r="O32" s="216">
        <v>1.22838</v>
      </c>
      <c r="P32" s="216">
        <v>1.22838</v>
      </c>
      <c r="Q32" s="215"/>
      <c r="R32" s="214"/>
      <c r="S32" s="218"/>
    </row>
    <row r="33" spans="1:19">
      <c r="I33" s="178"/>
    </row>
    <row r="34" spans="1:19" ht="21">
      <c r="A34" s="235" t="s">
        <v>102</v>
      </c>
      <c r="B34" s="236"/>
      <c r="C34" s="236"/>
      <c r="D34" s="236"/>
      <c r="E34" s="236"/>
      <c r="F34" s="236"/>
      <c r="G34" s="236"/>
      <c r="H34" s="236"/>
      <c r="I34" s="237"/>
      <c r="J34" s="236"/>
      <c r="K34" s="236"/>
      <c r="L34" s="236"/>
      <c r="M34" s="236"/>
      <c r="N34" s="236"/>
      <c r="O34" s="236"/>
      <c r="P34" s="236"/>
      <c r="Q34" s="236"/>
      <c r="R34" s="236"/>
      <c r="S34" s="238"/>
    </row>
    <row r="35" spans="1:19" ht="65.25">
      <c r="A35" s="225"/>
      <c r="B35" s="225"/>
      <c r="C35" s="225"/>
      <c r="D35" s="213" t="s">
        <v>33</v>
      </c>
      <c r="E35" s="213" t="s">
        <v>34</v>
      </c>
      <c r="F35" s="213" t="s">
        <v>49</v>
      </c>
      <c r="G35" s="213" t="s">
        <v>50</v>
      </c>
      <c r="H35" s="213" t="s">
        <v>51</v>
      </c>
      <c r="I35" s="220" t="s">
        <v>52</v>
      </c>
      <c r="J35" s="213" t="s">
        <v>53</v>
      </c>
      <c r="K35" s="213" t="s">
        <v>54</v>
      </c>
      <c r="L35" s="213" t="s">
        <v>55</v>
      </c>
      <c r="M35" s="213" t="s">
        <v>33</v>
      </c>
      <c r="N35" s="213" t="s">
        <v>34</v>
      </c>
      <c r="O35" s="213" t="s">
        <v>56</v>
      </c>
      <c r="P35" s="213" t="s">
        <v>56</v>
      </c>
      <c r="Q35" s="213" t="s">
        <v>33</v>
      </c>
      <c r="R35" s="213" t="s">
        <v>34</v>
      </c>
      <c r="S35" s="213" t="s">
        <v>57</v>
      </c>
    </row>
    <row r="36" spans="1:19">
      <c r="A36" s="214" t="s">
        <v>103</v>
      </c>
      <c r="B36" s="214" t="s">
        <v>63</v>
      </c>
      <c r="C36" s="214" t="s">
        <v>104</v>
      </c>
      <c r="D36" s="215">
        <v>1</v>
      </c>
      <c r="E36" s="214" t="s">
        <v>105</v>
      </c>
      <c r="F36" s="216">
        <v>1.8400000000000001E-3</v>
      </c>
      <c r="G36" s="216">
        <v>2.0000000000000001E-4</v>
      </c>
      <c r="H36" s="216">
        <v>6.4252900000000003E-6</v>
      </c>
      <c r="I36" s="221">
        <v>0.11901</v>
      </c>
      <c r="J36" s="216">
        <v>1.06881E-12</v>
      </c>
      <c r="K36" s="216">
        <v>2.7005600000000001E-5</v>
      </c>
      <c r="L36" s="216">
        <v>1.31904</v>
      </c>
      <c r="M36" s="215"/>
      <c r="N36" s="214"/>
      <c r="O36" s="216">
        <v>0.11605</v>
      </c>
      <c r="P36" s="216">
        <v>0.11605</v>
      </c>
      <c r="Q36" s="215"/>
      <c r="R36" s="214"/>
      <c r="S36" s="218"/>
    </row>
    <row r="37" spans="1:19">
      <c r="A37" s="214" t="s">
        <v>106</v>
      </c>
      <c r="B37" s="214" t="s">
        <v>63</v>
      </c>
      <c r="C37" s="214" t="s">
        <v>104</v>
      </c>
      <c r="D37" s="215">
        <v>1</v>
      </c>
      <c r="E37" s="214" t="s">
        <v>105</v>
      </c>
      <c r="F37" s="216">
        <v>2.0400000000000001E-3</v>
      </c>
      <c r="G37" s="216">
        <v>2.3000000000000001E-4</v>
      </c>
      <c r="H37" s="216">
        <v>7.0932500000000002E-6</v>
      </c>
      <c r="I37" s="221">
        <v>0.13691999999999999</v>
      </c>
      <c r="J37" s="216">
        <v>1.2734400000000001E-12</v>
      </c>
      <c r="K37" s="216">
        <v>3.5825599999999998E-5</v>
      </c>
      <c r="L37" s="216">
        <v>1.55603</v>
      </c>
      <c r="M37" s="215"/>
      <c r="N37" s="214"/>
      <c r="O37" s="216">
        <v>0.13381999999999999</v>
      </c>
      <c r="P37" s="216">
        <v>0.13381999999999999</v>
      </c>
      <c r="Q37" s="215"/>
      <c r="R37" s="214"/>
      <c r="S37" s="218"/>
    </row>
    <row r="38" spans="1:19">
      <c r="A38" s="214" t="s">
        <v>107</v>
      </c>
      <c r="B38" s="214" t="s">
        <v>63</v>
      </c>
      <c r="C38" s="214" t="s">
        <v>104</v>
      </c>
      <c r="D38" s="215">
        <v>1</v>
      </c>
      <c r="E38" s="214" t="s">
        <v>105</v>
      </c>
      <c r="F38" s="216">
        <v>3.5799999999999998E-3</v>
      </c>
      <c r="G38" s="216">
        <v>1.7000000000000001E-4</v>
      </c>
      <c r="H38" s="216">
        <v>1.05379E-5</v>
      </c>
      <c r="I38" s="221">
        <v>5.8389999999999997E-2</v>
      </c>
      <c r="J38" s="216">
        <v>2.5105399999999999E-12</v>
      </c>
      <c r="K38" s="216">
        <v>9.4039800000000004E-6</v>
      </c>
      <c r="L38" s="216">
        <v>0.76221000000000005</v>
      </c>
      <c r="M38" s="215"/>
      <c r="N38" s="214"/>
      <c r="O38" s="216">
        <v>5.0849999999999999E-2</v>
      </c>
      <c r="P38" s="216">
        <v>5.0849999999999999E-2</v>
      </c>
      <c r="Q38" s="215"/>
      <c r="R38" s="214"/>
      <c r="S38" s="218"/>
    </row>
    <row r="39" spans="1:19">
      <c r="A39" s="214" t="s">
        <v>108</v>
      </c>
      <c r="B39" s="214" t="s">
        <v>63</v>
      </c>
      <c r="C39" s="214" t="s">
        <v>104</v>
      </c>
      <c r="D39" s="215">
        <v>1</v>
      </c>
      <c r="E39" s="214" t="s">
        <v>105</v>
      </c>
      <c r="F39" s="216">
        <v>5.9309164500933333E-5</v>
      </c>
      <c r="G39" s="216">
        <v>1.2807658437709165E-3</v>
      </c>
      <c r="H39" s="216">
        <v>1.4070672198483556E-5</v>
      </c>
      <c r="I39" s="221">
        <v>6.37980321542925E-2</v>
      </c>
      <c r="J39" s="216">
        <v>9.1426096889512773E-13</v>
      </c>
      <c r="K39" s="216">
        <v>8.0022681456788321E-6</v>
      </c>
      <c r="L39" s="216">
        <v>1.4278320794647584E-2</v>
      </c>
      <c r="M39" s="215"/>
      <c r="N39" s="214"/>
      <c r="O39" s="216">
        <v>6.2575959512225277E-2</v>
      </c>
      <c r="P39" s="216">
        <v>6.2575959512225277E-2</v>
      </c>
      <c r="Q39" s="215"/>
      <c r="R39" s="214"/>
      <c r="S39" s="218"/>
    </row>
    <row r="40" spans="1:19">
      <c r="A40" s="214" t="s">
        <v>109</v>
      </c>
      <c r="B40" s="214" t="s">
        <v>63</v>
      </c>
      <c r="C40" s="214" t="s">
        <v>104</v>
      </c>
      <c r="D40" s="215">
        <v>1</v>
      </c>
      <c r="E40" s="214" t="s">
        <v>105</v>
      </c>
      <c r="F40" s="216">
        <v>4.0122953799095281E-7</v>
      </c>
      <c r="G40" s="216">
        <v>5.2141912106147221E-8</v>
      </c>
      <c r="H40" s="216">
        <v>2.0222699384493139E-9</v>
      </c>
      <c r="I40" s="221">
        <v>7.0304387235824162E-3</v>
      </c>
      <c r="J40" s="216">
        <v>7.3805503430420556E-16</v>
      </c>
      <c r="K40" s="216">
        <v>7.1081904881751109E-9</v>
      </c>
      <c r="L40" s="216">
        <v>18.927033841256389</v>
      </c>
      <c r="M40" s="215"/>
      <c r="N40" s="214"/>
      <c r="O40" s="216">
        <v>6.3182687465360553E-3</v>
      </c>
      <c r="P40" s="216">
        <v>6.3182687465360553E-3</v>
      </c>
      <c r="Q40" s="215"/>
      <c r="R40" s="214"/>
      <c r="S40" s="218"/>
    </row>
    <row r="41" spans="1:19">
      <c r="A41" s="214" t="s">
        <v>110</v>
      </c>
      <c r="B41" s="214" t="s">
        <v>63</v>
      </c>
      <c r="C41" s="214" t="s">
        <v>104</v>
      </c>
      <c r="D41" s="215">
        <v>1</v>
      </c>
      <c r="E41" s="214" t="s">
        <v>105</v>
      </c>
      <c r="F41" s="216">
        <v>2.9796324229569723E-3</v>
      </c>
      <c r="G41" s="216">
        <v>1.2303556444361583E-4</v>
      </c>
      <c r="H41" s="216">
        <v>8.4634015282581949E-6</v>
      </c>
      <c r="I41" s="221">
        <v>3.9257991447166948E-2</v>
      </c>
      <c r="J41" s="216">
        <v>1.7581698721208557E-14</v>
      </c>
      <c r="K41" s="216">
        <v>1.6939585988817138E-6</v>
      </c>
      <c r="L41" s="216">
        <v>0.43445823980999448</v>
      </c>
      <c r="M41" s="215">
        <v>0.10009444444444444</v>
      </c>
      <c r="N41" s="214" t="s">
        <v>111</v>
      </c>
      <c r="O41" s="216">
        <v>3.3165052115793334E-2</v>
      </c>
      <c r="P41" s="216">
        <v>3.3165052115793334E-2</v>
      </c>
      <c r="Q41" s="215">
        <v>0.10009444444444444</v>
      </c>
      <c r="R41" s="214" t="s">
        <v>111</v>
      </c>
      <c r="S41" s="218"/>
    </row>
    <row r="42" spans="1:19">
      <c r="A42" s="214" t="s">
        <v>112</v>
      </c>
      <c r="B42" s="214" t="s">
        <v>63</v>
      </c>
      <c r="C42" s="214" t="s">
        <v>104</v>
      </c>
      <c r="D42" s="215">
        <v>1</v>
      </c>
      <c r="E42" s="214" t="s">
        <v>105</v>
      </c>
      <c r="F42" s="216">
        <v>2.6487106061594693E-3</v>
      </c>
      <c r="G42" s="216">
        <v>1.0991368518328889E-4</v>
      </c>
      <c r="H42" s="216">
        <v>7.4939474358430279E-6</v>
      </c>
      <c r="I42" s="221">
        <v>0.12349876660435972</v>
      </c>
      <c r="J42" s="216">
        <v>1.4001505218376138E-14</v>
      </c>
      <c r="K42" s="216">
        <v>1.4967276994932279E-6</v>
      </c>
      <c r="L42" s="216">
        <v>0.28097250714701111</v>
      </c>
      <c r="M42" s="215">
        <v>9.8611111111111108E-2</v>
      </c>
      <c r="N42" s="214" t="s">
        <v>113</v>
      </c>
      <c r="O42" s="216">
        <v>0.11809763913059139</v>
      </c>
      <c r="P42" s="216">
        <v>0.11809763913059139</v>
      </c>
      <c r="Q42" s="215">
        <v>9.8611111111111108E-2</v>
      </c>
      <c r="R42" s="214" t="s">
        <v>113</v>
      </c>
      <c r="S42" s="218"/>
    </row>
    <row r="43" spans="1:19">
      <c r="A43" s="214" t="s">
        <v>114</v>
      </c>
      <c r="B43" s="214" t="s">
        <v>63</v>
      </c>
      <c r="C43" s="214" t="s">
        <v>104</v>
      </c>
      <c r="D43" s="215">
        <v>1</v>
      </c>
      <c r="E43" s="214" t="s">
        <v>105</v>
      </c>
      <c r="F43" s="216">
        <v>4.069676694829361E-4</v>
      </c>
      <c r="G43" s="216">
        <v>4.0573716029255276E-5</v>
      </c>
      <c r="H43" s="216">
        <v>9.6518549627899719E-7</v>
      </c>
      <c r="I43" s="221">
        <v>8.1703543857747224E-3</v>
      </c>
      <c r="J43" s="216">
        <v>0</v>
      </c>
      <c r="K43" s="216">
        <v>1.7063969267033056E-6</v>
      </c>
      <c r="L43" s="216">
        <v>0.11917874555555555</v>
      </c>
      <c r="M43" s="215"/>
      <c r="N43" s="214"/>
      <c r="O43" s="216">
        <v>7.9778371930555557E-3</v>
      </c>
      <c r="P43" s="216">
        <v>7.9778371930555557E-3</v>
      </c>
      <c r="Q43" s="215"/>
      <c r="R43" s="214"/>
      <c r="S43" s="218"/>
    </row>
    <row r="44" spans="1:19">
      <c r="A44" s="214" t="s">
        <v>115</v>
      </c>
      <c r="B44" s="214" t="s">
        <v>63</v>
      </c>
      <c r="C44" s="214" t="s">
        <v>104</v>
      </c>
      <c r="D44" s="215">
        <v>1</v>
      </c>
      <c r="E44" s="214" t="s">
        <v>105</v>
      </c>
      <c r="F44" s="216">
        <v>4.2000000000000002E-4</v>
      </c>
      <c r="G44" s="216">
        <v>3.54928E-5</v>
      </c>
      <c r="H44" s="216">
        <v>1.29779E-6</v>
      </c>
      <c r="I44" s="221">
        <v>9.0200000000000002E-3</v>
      </c>
      <c r="J44" s="216">
        <v>5.3032099999999998E-13</v>
      </c>
      <c r="K44" s="216">
        <v>3.4098700000000002E-6</v>
      </c>
      <c r="L44" s="216">
        <v>0.10965</v>
      </c>
      <c r="M44" s="215"/>
      <c r="N44" s="214"/>
      <c r="O44" s="216">
        <v>8.7799999999999996E-3</v>
      </c>
      <c r="P44" s="216">
        <v>8.7799999999999996E-3</v>
      </c>
      <c r="Q44" s="215"/>
      <c r="R44" s="214"/>
      <c r="S44" s="218"/>
    </row>
    <row r="45" spans="1:19">
      <c r="A45" s="214" t="s">
        <v>116</v>
      </c>
      <c r="B45" s="214" t="s">
        <v>63</v>
      </c>
      <c r="C45" s="214" t="s">
        <v>104</v>
      </c>
      <c r="D45" s="215">
        <v>1</v>
      </c>
      <c r="E45" s="214" t="s">
        <v>105</v>
      </c>
      <c r="F45" s="216">
        <v>4.1818640390878887E-3</v>
      </c>
      <c r="G45" s="216">
        <v>2.1791825616965222E-4</v>
      </c>
      <c r="H45" s="216">
        <v>1.2600140989484805E-5</v>
      </c>
      <c r="I45" s="221">
        <v>7.2463019631233888E-2</v>
      </c>
      <c r="J45" s="216">
        <v>5.0034897870226667E-12</v>
      </c>
      <c r="K45" s="216">
        <v>1.7113380417259444E-5</v>
      </c>
      <c r="L45" s="216">
        <v>1.0820460778671945</v>
      </c>
      <c r="M45" s="215">
        <v>0.24255833333333335</v>
      </c>
      <c r="N45" s="214" t="s">
        <v>111</v>
      </c>
      <c r="O45" s="216">
        <v>6.3541917900625827E-2</v>
      </c>
      <c r="P45" s="216">
        <v>6.3541917900625827E-2</v>
      </c>
      <c r="Q45" s="215">
        <v>0.24255833333333335</v>
      </c>
      <c r="R45" s="214" t="s">
        <v>111</v>
      </c>
      <c r="S45" s="218"/>
    </row>
    <row r="46" spans="1:19">
      <c r="A46" s="214" t="s">
        <v>117</v>
      </c>
      <c r="B46" s="214" t="s">
        <v>63</v>
      </c>
      <c r="C46" s="214" t="s">
        <v>104</v>
      </c>
      <c r="D46" s="215">
        <v>1</v>
      </c>
      <c r="E46" s="214" t="s">
        <v>105</v>
      </c>
      <c r="F46" s="216">
        <v>3.564366840067639E-3</v>
      </c>
      <c r="G46" s="216">
        <v>2.7204105994572779E-4</v>
      </c>
      <c r="H46" s="216">
        <v>1.0603678622492807E-5</v>
      </c>
      <c r="I46" s="221">
        <v>0.25082808565979808</v>
      </c>
      <c r="J46" s="216">
        <v>3.6916550927039169E-12</v>
      </c>
      <c r="K46" s="216">
        <v>2.1025786800443167E-5</v>
      </c>
      <c r="L46" s="216">
        <v>0.65332330969723884</v>
      </c>
      <c r="M46" s="215">
        <v>0.21472222222222223</v>
      </c>
      <c r="N46" s="214" t="s">
        <v>113</v>
      </c>
      <c r="O46" s="216">
        <v>0.24372287486756888</v>
      </c>
      <c r="P46" s="216">
        <v>0.24372287486756888</v>
      </c>
      <c r="Q46" s="215">
        <v>0.21472222222222223</v>
      </c>
      <c r="R46" s="214" t="s">
        <v>113</v>
      </c>
      <c r="S46" s="218"/>
    </row>
    <row r="47" spans="1:19">
      <c r="A47" s="214" t="s">
        <v>118</v>
      </c>
      <c r="B47" s="214" t="s">
        <v>63</v>
      </c>
      <c r="C47" s="214" t="s">
        <v>104</v>
      </c>
      <c r="D47" s="215">
        <v>1</v>
      </c>
      <c r="E47" s="214" t="s">
        <v>105</v>
      </c>
      <c r="F47" s="216">
        <v>4.2899384317189446E-4</v>
      </c>
      <c r="G47" s="216">
        <v>3.0411952203836112E-5</v>
      </c>
      <c r="H47" s="216">
        <v>1.6303924168332667E-6</v>
      </c>
      <c r="I47" s="221">
        <v>9.8710831333273068E-3</v>
      </c>
      <c r="J47" s="216">
        <v>1.060641828080086E-12</v>
      </c>
      <c r="K47" s="216">
        <v>5.113348610937417E-6</v>
      </c>
      <c r="L47" s="216">
        <v>0.10012141728383972</v>
      </c>
      <c r="M47" s="215"/>
      <c r="N47" s="214"/>
      <c r="O47" s="216">
        <v>9.5795223996997213E-3</v>
      </c>
      <c r="P47" s="216">
        <v>9.5795223996997213E-3</v>
      </c>
      <c r="Q47" s="215"/>
      <c r="R47" s="214"/>
      <c r="S47" s="218"/>
    </row>
    <row r="48" spans="1:19">
      <c r="A48" s="214" t="s">
        <v>119</v>
      </c>
      <c r="B48" s="214" t="s">
        <v>63</v>
      </c>
      <c r="C48" s="214" t="s">
        <v>104</v>
      </c>
      <c r="D48" s="215">
        <v>1</v>
      </c>
      <c r="E48" s="214" t="s">
        <v>105</v>
      </c>
      <c r="F48" s="216">
        <v>3.1506607500511388E-3</v>
      </c>
      <c r="G48" s="216">
        <v>2.494341995659647E-4</v>
      </c>
      <c r="H48" s="216">
        <v>9.3154521124275568E-6</v>
      </c>
      <c r="I48" s="221">
        <v>0.22939023421986113</v>
      </c>
      <c r="J48" s="216">
        <v>1.8733238985839336E-12</v>
      </c>
      <c r="K48" s="216">
        <v>1.9753244873556723E-5</v>
      </c>
      <c r="L48" s="216">
        <v>0.14911051927986668</v>
      </c>
      <c r="M48" s="215">
        <v>0.152045005321575</v>
      </c>
      <c r="N48" s="214" t="s">
        <v>111</v>
      </c>
      <c r="O48" s="216">
        <v>0.22812732008283748</v>
      </c>
      <c r="P48" s="216">
        <v>0.22812732008283748</v>
      </c>
      <c r="Q48" s="215">
        <v>0.152045005321575</v>
      </c>
      <c r="R48" s="214" t="s">
        <v>111</v>
      </c>
      <c r="S48" s="218"/>
    </row>
    <row r="49" spans="1:19">
      <c r="A49" s="214" t="s">
        <v>120</v>
      </c>
      <c r="B49" s="214" t="s">
        <v>63</v>
      </c>
      <c r="C49" s="214" t="s">
        <v>104</v>
      </c>
      <c r="D49" s="215">
        <v>1</v>
      </c>
      <c r="E49" s="214" t="s">
        <v>105</v>
      </c>
      <c r="F49" s="216">
        <v>4.3221416439448886E-3</v>
      </c>
      <c r="G49" s="216">
        <v>2.2554719224976723E-4</v>
      </c>
      <c r="H49" s="216">
        <v>1.3034021552153528E-5</v>
      </c>
      <c r="I49" s="221">
        <v>7.5518951349155011E-2</v>
      </c>
      <c r="J49" s="216">
        <v>5.2654731180375004E-12</v>
      </c>
      <c r="K49" s="216">
        <v>1.7818872803267585E-5</v>
      </c>
      <c r="L49" s="216">
        <v>1.1656497993903474</v>
      </c>
      <c r="M49" s="215">
        <v>0.25283333333333335</v>
      </c>
      <c r="N49" s="214" t="s">
        <v>111</v>
      </c>
      <c r="O49" s="216">
        <v>6.6220656617779997E-2</v>
      </c>
      <c r="P49" s="216">
        <v>6.6220656617779997E-2</v>
      </c>
      <c r="Q49" s="215">
        <v>0.25283333333333335</v>
      </c>
      <c r="R49" s="214" t="s">
        <v>111</v>
      </c>
      <c r="S49" s="218"/>
    </row>
    <row r="50" spans="1:19">
      <c r="A50" s="214" t="s">
        <v>121</v>
      </c>
      <c r="B50" s="214" t="s">
        <v>63</v>
      </c>
      <c r="C50" s="214" t="s">
        <v>104</v>
      </c>
      <c r="D50" s="215">
        <v>1</v>
      </c>
      <c r="E50" s="214" t="s">
        <v>105</v>
      </c>
      <c r="F50" s="216">
        <v>3.7610136656748058E-3</v>
      </c>
      <c r="G50" s="216">
        <v>2.8559522918671668E-4</v>
      </c>
      <c r="H50" s="216">
        <v>1.1182262236213166E-5</v>
      </c>
      <c r="I50" s="221">
        <v>0.26175139688140775</v>
      </c>
      <c r="J50" s="216">
        <v>3.9058895367425273E-12</v>
      </c>
      <c r="K50" s="216">
        <v>2.1914944627466279E-5</v>
      </c>
      <c r="L50" s="216">
        <v>0.70211348019248332</v>
      </c>
      <c r="M50" s="215">
        <v>0.22416666666666665</v>
      </c>
      <c r="N50" s="214" t="s">
        <v>113</v>
      </c>
      <c r="O50" s="216">
        <v>0.25433683393073747</v>
      </c>
      <c r="P50" s="216">
        <v>0.25433683393073747</v>
      </c>
      <c r="Q50" s="215">
        <v>0.22416666666666665</v>
      </c>
      <c r="R50" s="214" t="s">
        <v>113</v>
      </c>
      <c r="S50" s="218"/>
    </row>
    <row r="51" spans="1:19">
      <c r="A51" s="214" t="s">
        <v>122</v>
      </c>
      <c r="B51" s="214" t="s">
        <v>63</v>
      </c>
      <c r="C51" s="214" t="s">
        <v>104</v>
      </c>
      <c r="D51" s="215">
        <v>1</v>
      </c>
      <c r="E51" s="214" t="s">
        <v>105</v>
      </c>
      <c r="F51" s="216">
        <v>4.1480396232442505E-3</v>
      </c>
      <c r="G51" s="216">
        <v>6.8504608681620833E-4</v>
      </c>
      <c r="H51" s="216">
        <v>1.1549293966412138E-5</v>
      </c>
      <c r="I51" s="221">
        <v>0.32931316038710279</v>
      </c>
      <c r="J51" s="216">
        <v>3.9687112227646666E-12</v>
      </c>
      <c r="K51" s="216">
        <v>1.3329693079180529E-4</v>
      </c>
      <c r="L51" s="216">
        <v>0.22502083536369558</v>
      </c>
      <c r="M51" s="215"/>
      <c r="N51" s="214"/>
      <c r="O51" s="216">
        <v>0.3247645038608889</v>
      </c>
      <c r="P51" s="216">
        <v>0.3247645038608889</v>
      </c>
      <c r="Q51" s="215"/>
      <c r="R51" s="214"/>
      <c r="S51" s="218"/>
    </row>
    <row r="52" spans="1:19">
      <c r="A52" s="214" t="s">
        <v>123</v>
      </c>
      <c r="B52" s="214" t="s">
        <v>63</v>
      </c>
      <c r="C52" s="214" t="s">
        <v>104</v>
      </c>
      <c r="D52" s="215">
        <v>1</v>
      </c>
      <c r="E52" s="214" t="s">
        <v>105</v>
      </c>
      <c r="F52" s="216">
        <v>2.7800556018018889E-2</v>
      </c>
      <c r="G52" s="216">
        <v>1.7700778437788141E-3</v>
      </c>
      <c r="H52" s="216">
        <v>6.2797348261465282E-5</v>
      </c>
      <c r="I52" s="221">
        <v>0.31971326363604446</v>
      </c>
      <c r="J52" s="216">
        <v>1.7260121018444446E-9</v>
      </c>
      <c r="K52" s="216">
        <v>1.3054092913466001E-4</v>
      </c>
      <c r="L52" s="216">
        <v>0.11861307528358334</v>
      </c>
      <c r="M52" s="215"/>
      <c r="N52" s="214"/>
      <c r="O52" s="216">
        <v>0.31532132479597502</v>
      </c>
      <c r="P52" s="216">
        <v>0.31532132479597502</v>
      </c>
      <c r="Q52" s="215"/>
      <c r="R52" s="214"/>
      <c r="S52" s="218"/>
    </row>
    <row r="53" spans="1:19">
      <c r="A53" s="214" t="s">
        <v>124</v>
      </c>
      <c r="B53" s="214" t="s">
        <v>63</v>
      </c>
      <c r="C53" s="214" t="s">
        <v>104</v>
      </c>
      <c r="D53" s="215">
        <v>1</v>
      </c>
      <c r="E53" s="214" t="s">
        <v>105</v>
      </c>
      <c r="F53" s="216">
        <v>2.3737934711384251E-3</v>
      </c>
      <c r="G53" s="216">
        <v>1.1198429876818889E-4</v>
      </c>
      <c r="H53" s="216">
        <v>7.6641249103256943E-6</v>
      </c>
      <c r="I53" s="221">
        <v>0.13754183224574279</v>
      </c>
      <c r="J53" s="216">
        <v>2.5693259559474447E-13</v>
      </c>
      <c r="K53" s="216">
        <v>1.6831456894215639E-6</v>
      </c>
      <c r="L53" s="216">
        <v>4.1883036767826669E-2</v>
      </c>
      <c r="M53" s="215"/>
      <c r="N53" s="214"/>
      <c r="O53" s="216">
        <v>0.13239024171577332</v>
      </c>
      <c r="P53" s="216">
        <v>0.13239024171577332</v>
      </c>
      <c r="Q53" s="215"/>
      <c r="R53" s="214"/>
      <c r="S53" s="218"/>
    </row>
    <row r="54" spans="1:19">
      <c r="A54" s="214" t="s">
        <v>125</v>
      </c>
      <c r="B54" s="214" t="s">
        <v>63</v>
      </c>
      <c r="C54" s="214" t="s">
        <v>104</v>
      </c>
      <c r="D54" s="215">
        <v>1</v>
      </c>
      <c r="E54" s="214" t="s">
        <v>105</v>
      </c>
      <c r="F54" s="216">
        <v>4.4455328469918332E-4</v>
      </c>
      <c r="G54" s="216">
        <v>3.5056191314256664E-5</v>
      </c>
      <c r="H54" s="216">
        <v>6.4415822474249166E-6</v>
      </c>
      <c r="I54" s="221">
        <v>8.6510430119928882E-3</v>
      </c>
      <c r="J54" s="216">
        <v>6.5184859769284716E-13</v>
      </c>
      <c r="K54" s="216">
        <v>1.6133507313989195E-6</v>
      </c>
      <c r="L54" s="216">
        <v>0.54669173040053332</v>
      </c>
      <c r="M54" s="215"/>
      <c r="N54" s="214"/>
      <c r="O54" s="216">
        <v>8.4521386459656955E-3</v>
      </c>
      <c r="P54" s="216">
        <v>8.4521386459656955E-3</v>
      </c>
      <c r="Q54" s="215"/>
      <c r="R54" s="214"/>
      <c r="S54" s="218"/>
    </row>
    <row r="55" spans="1:19">
      <c r="A55" s="179"/>
      <c r="B55" s="179"/>
      <c r="C55" s="179"/>
      <c r="D55" s="180"/>
      <c r="E55" s="179"/>
      <c r="F55" s="180"/>
      <c r="G55" s="180"/>
      <c r="H55" s="180"/>
      <c r="I55" s="181"/>
      <c r="J55" s="180"/>
      <c r="K55" s="180"/>
      <c r="L55" s="180"/>
      <c r="M55" s="180"/>
      <c r="N55" s="179"/>
      <c r="O55" s="180"/>
      <c r="P55" s="180"/>
      <c r="Q55" s="180"/>
      <c r="R55" s="179"/>
    </row>
    <row r="56" spans="1:19" ht="21">
      <c r="A56" s="235" t="s">
        <v>126</v>
      </c>
      <c r="B56" s="236"/>
      <c r="C56" s="236"/>
      <c r="D56" s="236"/>
      <c r="E56" s="236"/>
      <c r="F56" s="236"/>
      <c r="G56" s="236"/>
      <c r="H56" s="236"/>
      <c r="I56" s="237"/>
      <c r="J56" s="236"/>
      <c r="K56" s="236"/>
      <c r="L56" s="236"/>
      <c r="M56" s="236"/>
      <c r="N56" s="236"/>
      <c r="O56" s="236"/>
      <c r="P56" s="236"/>
      <c r="Q56" s="236"/>
      <c r="R56" s="236"/>
      <c r="S56" s="238"/>
    </row>
    <row r="57" spans="1:19">
      <c r="A57" s="213" t="s">
        <v>30</v>
      </c>
      <c r="B57" s="213"/>
      <c r="C57" s="213" t="s">
        <v>32</v>
      </c>
      <c r="D57" s="222"/>
      <c r="E57" s="222"/>
      <c r="F57" s="222" t="s">
        <v>35</v>
      </c>
      <c r="G57" s="222"/>
      <c r="H57" s="222"/>
      <c r="I57" s="223"/>
      <c r="J57" s="222"/>
      <c r="K57" s="222"/>
      <c r="L57" s="222"/>
      <c r="M57" s="222" t="s">
        <v>42</v>
      </c>
      <c r="N57" s="222"/>
      <c r="O57" s="224" t="s">
        <v>44</v>
      </c>
      <c r="P57" s="224" t="s">
        <v>35</v>
      </c>
      <c r="Q57" s="222" t="s">
        <v>42</v>
      </c>
      <c r="R57" s="222"/>
      <c r="S57" s="225"/>
    </row>
    <row r="58" spans="1:19" ht="65.25">
      <c r="A58" s="213"/>
      <c r="B58" s="213"/>
      <c r="C58" s="213"/>
      <c r="D58" s="213" t="s">
        <v>33</v>
      </c>
      <c r="E58" s="213" t="s">
        <v>34</v>
      </c>
      <c r="F58" s="213" t="s">
        <v>49</v>
      </c>
      <c r="G58" s="213" t="s">
        <v>50</v>
      </c>
      <c r="H58" s="213" t="s">
        <v>51</v>
      </c>
      <c r="I58" s="220" t="s">
        <v>52</v>
      </c>
      <c r="J58" s="213" t="s">
        <v>53</v>
      </c>
      <c r="K58" s="213" t="s">
        <v>54</v>
      </c>
      <c r="L58" s="213" t="s">
        <v>55</v>
      </c>
      <c r="M58" s="213" t="s">
        <v>33</v>
      </c>
      <c r="N58" s="213" t="s">
        <v>34</v>
      </c>
      <c r="O58" s="213" t="s">
        <v>56</v>
      </c>
      <c r="P58" s="213" t="s">
        <v>56</v>
      </c>
      <c r="Q58" s="213" t="s">
        <v>33</v>
      </c>
      <c r="R58" s="213" t="s">
        <v>34</v>
      </c>
      <c r="S58" s="213" t="s">
        <v>57</v>
      </c>
    </row>
    <row r="59" spans="1:19">
      <c r="A59" s="214" t="s">
        <v>127</v>
      </c>
      <c r="B59" s="214" t="s">
        <v>63</v>
      </c>
      <c r="C59" s="214" t="s">
        <v>128</v>
      </c>
      <c r="D59" s="215">
        <v>1</v>
      </c>
      <c r="E59" s="214" t="s">
        <v>61</v>
      </c>
      <c r="F59" s="216">
        <v>0.44373813817924801</v>
      </c>
      <c r="G59" s="216">
        <v>2.0865242097098599E-2</v>
      </c>
      <c r="H59" s="216">
        <v>1.2318145081461401E-3</v>
      </c>
      <c r="I59" s="221">
        <v>3.9034850135120802</v>
      </c>
      <c r="J59" s="216">
        <v>8.2052438514342093E-9</v>
      </c>
      <c r="K59" s="216">
        <v>1.1844439345107399E-3</v>
      </c>
      <c r="L59" s="216">
        <v>2.58682051817159</v>
      </c>
      <c r="M59" s="215"/>
      <c r="N59" s="214"/>
      <c r="O59" s="216">
        <v>3.0825642401511164</v>
      </c>
      <c r="P59" s="216">
        <v>3.8492473206630802</v>
      </c>
      <c r="Q59" s="215"/>
      <c r="R59" s="214"/>
      <c r="S59" s="218"/>
    </row>
    <row r="60" spans="1:19">
      <c r="A60" s="214" t="s">
        <v>129</v>
      </c>
      <c r="B60" s="214" t="s">
        <v>63</v>
      </c>
      <c r="C60" s="214" t="s">
        <v>130</v>
      </c>
      <c r="D60" s="215">
        <v>1</v>
      </c>
      <c r="E60" s="214" t="s">
        <v>61</v>
      </c>
      <c r="F60" s="216">
        <v>0.18804030922759701</v>
      </c>
      <c r="G60" s="216">
        <v>1.0188728380911101E-2</v>
      </c>
      <c r="H60" s="216">
        <v>5.5209139546998499E-4</v>
      </c>
      <c r="I60" s="221">
        <v>4.0461775448376098</v>
      </c>
      <c r="J60" s="216">
        <v>1.09794783916419E-8</v>
      </c>
      <c r="K60" s="216">
        <v>3.1601814410161697E-4</v>
      </c>
      <c r="L60" s="216">
        <v>55.5426147269377</v>
      </c>
      <c r="M60" s="215"/>
      <c r="N60" s="214"/>
      <c r="O60" s="216">
        <v>3.2037799035587256</v>
      </c>
      <c r="P60" s="216">
        <v>3.9919888045255898</v>
      </c>
      <c r="Q60" s="215"/>
      <c r="R60" s="214"/>
      <c r="S60" s="218"/>
    </row>
    <row r="61" spans="1:19">
      <c r="A61" s="214" t="s">
        <v>131</v>
      </c>
      <c r="B61" s="214" t="s">
        <v>63</v>
      </c>
      <c r="C61" s="214" t="s">
        <v>132</v>
      </c>
      <c r="D61" s="215">
        <v>1</v>
      </c>
      <c r="E61" s="214" t="s">
        <v>61</v>
      </c>
      <c r="F61" s="216">
        <v>0.229774779716933</v>
      </c>
      <c r="G61" s="216">
        <v>6.6602540552339901E-3</v>
      </c>
      <c r="H61" s="216">
        <v>4.5587921423758998E-4</v>
      </c>
      <c r="I61" s="221">
        <v>3.3950948213457002</v>
      </c>
      <c r="J61" s="216">
        <v>1.18311500776727E-11</v>
      </c>
      <c r="K61" s="216">
        <v>1.2356366827319E-4</v>
      </c>
      <c r="L61" s="216">
        <v>1.6721189778764101</v>
      </c>
      <c r="M61" s="215"/>
      <c r="N61" s="214"/>
      <c r="O61" s="216">
        <v>2.8430199999999997</v>
      </c>
      <c r="P61" s="216">
        <v>3.2853645214163398</v>
      </c>
      <c r="Q61" s="215"/>
      <c r="R61" s="214"/>
      <c r="S61" s="218"/>
    </row>
    <row r="62" spans="1:19">
      <c r="I62" s="178"/>
    </row>
    <row r="63" spans="1:19" ht="21">
      <c r="A63" s="235" t="s">
        <v>133</v>
      </c>
      <c r="B63" s="236"/>
      <c r="C63" s="236"/>
      <c r="D63" s="236"/>
      <c r="E63" s="236"/>
      <c r="F63" s="236"/>
      <c r="G63" s="236"/>
      <c r="H63" s="236"/>
      <c r="I63" s="237"/>
      <c r="J63" s="236"/>
      <c r="K63" s="236"/>
      <c r="L63" s="236"/>
      <c r="M63" s="236"/>
      <c r="N63" s="236"/>
      <c r="O63" s="236"/>
      <c r="P63" s="236"/>
      <c r="Q63" s="236"/>
      <c r="R63" s="236"/>
      <c r="S63" s="238"/>
    </row>
    <row r="64" spans="1:19">
      <c r="A64" s="213" t="s">
        <v>30</v>
      </c>
      <c r="B64" s="213"/>
      <c r="C64" s="213" t="s">
        <v>134</v>
      </c>
      <c r="D64" s="222" t="s">
        <v>42</v>
      </c>
      <c r="E64" s="222"/>
      <c r="F64" s="222" t="s">
        <v>35</v>
      </c>
      <c r="G64" s="222"/>
      <c r="H64" s="222"/>
      <c r="I64" s="223"/>
      <c r="J64" s="222"/>
      <c r="K64" s="222"/>
      <c r="L64" s="222"/>
      <c r="M64" s="222" t="s">
        <v>42</v>
      </c>
      <c r="N64" s="222"/>
      <c r="O64" s="224" t="s">
        <v>44</v>
      </c>
      <c r="P64" s="224" t="s">
        <v>35</v>
      </c>
      <c r="Q64" s="222" t="s">
        <v>42</v>
      </c>
      <c r="R64" s="222"/>
      <c r="S64" s="225"/>
    </row>
    <row r="65" spans="1:19" ht="65.25">
      <c r="A65" s="213"/>
      <c r="B65" s="213"/>
      <c r="C65" s="213"/>
      <c r="D65" s="213" t="s">
        <v>33</v>
      </c>
      <c r="E65" s="213" t="s">
        <v>34</v>
      </c>
      <c r="F65" s="213" t="s">
        <v>49</v>
      </c>
      <c r="G65" s="213" t="s">
        <v>50</v>
      </c>
      <c r="H65" s="213" t="s">
        <v>51</v>
      </c>
      <c r="I65" s="220" t="s">
        <v>52</v>
      </c>
      <c r="J65" s="213" t="s">
        <v>53</v>
      </c>
      <c r="K65" s="213" t="s">
        <v>54</v>
      </c>
      <c r="L65" s="213" t="s">
        <v>55</v>
      </c>
      <c r="M65" s="213" t="s">
        <v>33</v>
      </c>
      <c r="N65" s="213" t="s">
        <v>34</v>
      </c>
      <c r="O65" s="213" t="s">
        <v>56</v>
      </c>
      <c r="P65" s="213" t="s">
        <v>56</v>
      </c>
      <c r="Q65" s="213" t="s">
        <v>33</v>
      </c>
      <c r="R65" s="213" t="s">
        <v>34</v>
      </c>
      <c r="S65" s="213" t="s">
        <v>57</v>
      </c>
    </row>
    <row r="66" spans="1:19">
      <c r="A66" s="226" t="s">
        <v>135</v>
      </c>
      <c r="B66" s="214" t="s">
        <v>136</v>
      </c>
      <c r="C66" s="226" t="s">
        <v>134</v>
      </c>
      <c r="D66" s="215">
        <v>1</v>
      </c>
      <c r="E66" s="214" t="s">
        <v>137</v>
      </c>
      <c r="F66" s="216"/>
      <c r="G66" s="216"/>
      <c r="H66" s="216"/>
      <c r="I66" s="217">
        <f>B115</f>
        <v>5.0637098246677323E-2</v>
      </c>
      <c r="J66" s="216"/>
      <c r="K66" s="216"/>
      <c r="L66" s="216"/>
      <c r="M66" s="215"/>
      <c r="N66" s="214"/>
      <c r="O66" s="216"/>
      <c r="P66" s="216"/>
      <c r="Q66" s="215"/>
      <c r="R66" s="214"/>
      <c r="S66" s="221">
        <f>B115</f>
        <v>5.0637098246677323E-2</v>
      </c>
    </row>
    <row r="67" spans="1:19">
      <c r="A67" s="214" t="s">
        <v>138</v>
      </c>
      <c r="B67" s="214" t="s">
        <v>63</v>
      </c>
      <c r="C67" s="214" t="s">
        <v>134</v>
      </c>
      <c r="D67" s="215">
        <v>1</v>
      </c>
      <c r="E67" s="214" t="s">
        <v>137</v>
      </c>
      <c r="F67" s="216">
        <v>1.0982099204866198E-3</v>
      </c>
      <c r="G67" s="216">
        <v>5.1639500626228899E-5</v>
      </c>
      <c r="H67" s="216">
        <v>3.0486243950006996E-6</v>
      </c>
      <c r="I67" s="221">
        <v>9.6607561926042602E-3</v>
      </c>
      <c r="J67" s="216">
        <v>2.0307202429413301E-11</v>
      </c>
      <c r="K67" s="216">
        <v>2.9313867058559399E-6</v>
      </c>
      <c r="L67" s="216">
        <v>6.40213610493589E-3</v>
      </c>
      <c r="M67" s="215"/>
      <c r="N67" s="214"/>
      <c r="O67" s="216">
        <v>0</v>
      </c>
      <c r="P67" s="216">
        <v>9.5265230329405794E-3</v>
      </c>
      <c r="Q67" s="215"/>
      <c r="R67" s="214"/>
      <c r="S67" s="218"/>
    </row>
    <row r="68" spans="1:19">
      <c r="A68" s="214" t="s">
        <v>139</v>
      </c>
      <c r="B68" s="214" t="s">
        <v>63</v>
      </c>
      <c r="C68" s="214" t="s">
        <v>134</v>
      </c>
      <c r="D68" s="215">
        <v>1</v>
      </c>
      <c r="E68" s="214" t="s">
        <v>137</v>
      </c>
      <c r="F68" s="216">
        <v>2.2526236218519298E-3</v>
      </c>
      <c r="G68" s="216">
        <v>1.05921788504456E-4</v>
      </c>
      <c r="H68" s="216">
        <v>6.2532701610358892E-6</v>
      </c>
      <c r="I68" s="221">
        <v>1.9815926990324102E-2</v>
      </c>
      <c r="J68" s="216">
        <v>4.16536793493501E-11</v>
      </c>
      <c r="K68" s="216">
        <v>6.01279483567933E-6</v>
      </c>
      <c r="L68" s="216">
        <v>1.3131918362109999E-2</v>
      </c>
      <c r="M68" s="215"/>
      <c r="N68" s="214"/>
      <c r="O68" s="216">
        <v>0</v>
      </c>
      <c r="P68" s="216">
        <v>1.9539999999999998E-2</v>
      </c>
      <c r="Q68" s="215"/>
      <c r="R68" s="214"/>
      <c r="S68" s="218"/>
    </row>
    <row r="69" spans="1:19">
      <c r="A69" s="214" t="s">
        <v>140</v>
      </c>
      <c r="B69" s="214" t="s">
        <v>63</v>
      </c>
      <c r="C69" s="214" t="s">
        <v>134</v>
      </c>
      <c r="D69" s="215">
        <v>1</v>
      </c>
      <c r="E69" s="214" t="s">
        <v>137</v>
      </c>
      <c r="F69" s="216">
        <v>1.3386935380784799E-2</v>
      </c>
      <c r="G69" s="216">
        <v>6.2947406054482402E-4</v>
      </c>
      <c r="H69" s="216">
        <v>3.7162055281812305E-5</v>
      </c>
      <c r="I69" s="221">
        <v>0.11776247552253401</v>
      </c>
      <c r="J69" s="216">
        <v>2.4754029408750302E-10</v>
      </c>
      <c r="K69" s="216">
        <v>3.5732953850932798E-5</v>
      </c>
      <c r="L69" s="216">
        <v>7.8040619317835208E-2</v>
      </c>
      <c r="M69" s="215"/>
      <c r="N69" s="214"/>
      <c r="O69" s="216">
        <v>0</v>
      </c>
      <c r="P69" s="216">
        <v>0.11612620307511301</v>
      </c>
      <c r="Q69" s="215"/>
      <c r="R69" s="214"/>
      <c r="S69" s="218"/>
    </row>
    <row r="70" spans="1:19">
      <c r="I70" s="178"/>
    </row>
    <row r="71" spans="1:19" ht="21">
      <c r="A71" s="235" t="s">
        <v>141</v>
      </c>
      <c r="B71" s="236"/>
      <c r="C71" s="236"/>
      <c r="D71" s="236"/>
      <c r="E71" s="236"/>
      <c r="F71" s="236"/>
      <c r="G71" s="236"/>
      <c r="H71" s="236"/>
      <c r="I71" s="237"/>
      <c r="J71" s="236"/>
      <c r="K71" s="236"/>
      <c r="L71" s="236"/>
      <c r="M71" s="236"/>
      <c r="N71" s="236"/>
      <c r="O71" s="236"/>
      <c r="P71" s="236"/>
      <c r="Q71" s="236"/>
      <c r="R71" s="236"/>
      <c r="S71" s="238"/>
    </row>
    <row r="72" spans="1:19">
      <c r="A72" s="213" t="s">
        <v>30</v>
      </c>
      <c r="B72" s="213"/>
      <c r="C72" s="213" t="s">
        <v>32</v>
      </c>
      <c r="D72" s="222"/>
      <c r="E72" s="222"/>
      <c r="F72" s="222" t="s">
        <v>35</v>
      </c>
      <c r="G72" s="222"/>
      <c r="H72" s="222"/>
      <c r="I72" s="223"/>
      <c r="J72" s="222"/>
      <c r="K72" s="222"/>
      <c r="L72" s="222"/>
      <c r="M72" s="222" t="s">
        <v>42</v>
      </c>
      <c r="N72" s="222"/>
      <c r="O72" s="224" t="s">
        <v>44</v>
      </c>
      <c r="P72" s="224" t="s">
        <v>35</v>
      </c>
      <c r="Q72" s="222" t="s">
        <v>42</v>
      </c>
      <c r="R72" s="222"/>
      <c r="S72" s="225"/>
    </row>
    <row r="73" spans="1:19" ht="65.25">
      <c r="A73" s="213"/>
      <c r="B73" s="213" t="s">
        <v>31</v>
      </c>
      <c r="C73" s="213"/>
      <c r="D73" s="213" t="s">
        <v>33</v>
      </c>
      <c r="E73" s="213" t="s">
        <v>34</v>
      </c>
      <c r="F73" s="213" t="s">
        <v>49</v>
      </c>
      <c r="G73" s="213" t="s">
        <v>50</v>
      </c>
      <c r="H73" s="213" t="s">
        <v>51</v>
      </c>
      <c r="I73" s="213" t="s">
        <v>52</v>
      </c>
      <c r="J73" s="213" t="s">
        <v>53</v>
      </c>
      <c r="K73" s="213" t="s">
        <v>54</v>
      </c>
      <c r="L73" s="213" t="s">
        <v>55</v>
      </c>
      <c r="M73" s="213" t="s">
        <v>33</v>
      </c>
      <c r="N73" s="213" t="s">
        <v>34</v>
      </c>
      <c r="O73" s="213" t="s">
        <v>56</v>
      </c>
      <c r="P73" s="213" t="s">
        <v>56</v>
      </c>
      <c r="Q73" s="213" t="s">
        <v>33</v>
      </c>
      <c r="R73" s="213" t="s">
        <v>34</v>
      </c>
      <c r="S73" s="213" t="s">
        <v>57</v>
      </c>
    </row>
    <row r="74" spans="1:19">
      <c r="A74" s="214" t="s">
        <v>142</v>
      </c>
      <c r="B74" s="214" t="s">
        <v>143</v>
      </c>
      <c r="C74" s="214"/>
      <c r="D74" s="215">
        <v>1</v>
      </c>
      <c r="E74" s="214" t="s">
        <v>61</v>
      </c>
      <c r="F74" s="216"/>
      <c r="G74" s="216"/>
      <c r="H74" s="216"/>
      <c r="I74" s="227">
        <v>25</v>
      </c>
      <c r="J74" s="216"/>
      <c r="K74" s="216"/>
      <c r="L74" s="216"/>
      <c r="M74" s="215"/>
      <c r="N74" s="214"/>
      <c r="O74" s="216"/>
      <c r="P74" s="216"/>
      <c r="Q74" s="215"/>
      <c r="R74" s="214"/>
      <c r="S74" s="221"/>
    </row>
    <row r="75" spans="1:19">
      <c r="A75" s="214" t="s">
        <v>144</v>
      </c>
      <c r="B75" s="214" t="s">
        <v>143</v>
      </c>
      <c r="C75" s="214"/>
      <c r="D75" s="215">
        <v>1</v>
      </c>
      <c r="E75" s="214" t="s">
        <v>61</v>
      </c>
      <c r="F75" s="216"/>
      <c r="G75" s="216"/>
      <c r="H75" s="216"/>
      <c r="I75" s="227">
        <v>1</v>
      </c>
      <c r="J75" s="216"/>
      <c r="K75" s="216"/>
      <c r="L75" s="216"/>
      <c r="M75" s="215"/>
      <c r="N75" s="214"/>
      <c r="O75" s="216"/>
      <c r="P75" s="216"/>
      <c r="Q75" s="215"/>
      <c r="R75" s="214"/>
      <c r="S75" s="221"/>
    </row>
    <row r="76" spans="1:19">
      <c r="A76" s="214" t="s">
        <v>145</v>
      </c>
      <c r="B76" s="214" t="s">
        <v>143</v>
      </c>
      <c r="C76" s="214"/>
      <c r="D76" s="215">
        <v>1</v>
      </c>
      <c r="E76" s="214" t="s">
        <v>61</v>
      </c>
      <c r="F76" s="216"/>
      <c r="G76" s="216"/>
      <c r="H76" s="216"/>
      <c r="I76" s="227">
        <v>298</v>
      </c>
      <c r="J76" s="216"/>
      <c r="K76" s="216"/>
      <c r="L76" s="216"/>
      <c r="M76" s="215"/>
      <c r="N76" s="214"/>
      <c r="O76" s="216"/>
      <c r="P76" s="216"/>
      <c r="Q76" s="215"/>
      <c r="R76" s="214"/>
      <c r="S76" s="221"/>
    </row>
    <row r="77" spans="1:19">
      <c r="A77" s="214" t="s">
        <v>146</v>
      </c>
      <c r="B77" s="214" t="s">
        <v>136</v>
      </c>
      <c r="C77" s="214"/>
      <c r="D77" s="215">
        <v>1</v>
      </c>
      <c r="E77" s="214" t="s">
        <v>147</v>
      </c>
      <c r="F77" s="216"/>
      <c r="G77" s="216"/>
      <c r="H77" s="216"/>
      <c r="I77" s="228">
        <f>-348503.364624746/1000</f>
        <v>-348.50336462474604</v>
      </c>
      <c r="J77" s="216"/>
      <c r="K77" s="216"/>
      <c r="L77" s="216"/>
      <c r="M77" s="215"/>
      <c r="N77" s="214"/>
      <c r="O77" s="216"/>
      <c r="P77" s="216"/>
      <c r="Q77" s="215"/>
      <c r="R77" s="214"/>
      <c r="S77" s="227"/>
    </row>
    <row r="78" spans="1:19">
      <c r="A78" s="214" t="s">
        <v>148</v>
      </c>
      <c r="B78" s="214" t="s">
        <v>136</v>
      </c>
      <c r="C78" s="214"/>
      <c r="D78" s="215">
        <v>1</v>
      </c>
      <c r="E78" s="214" t="s">
        <v>147</v>
      </c>
      <c r="F78" s="216"/>
      <c r="G78" s="216"/>
      <c r="H78" s="216"/>
      <c r="I78" s="229">
        <f>-51584.818757149/1000</f>
        <v>-51.584818757148994</v>
      </c>
      <c r="J78" s="216"/>
      <c r="K78" s="216"/>
      <c r="L78" s="216"/>
      <c r="M78" s="215"/>
      <c r="N78" s="214"/>
      <c r="O78" s="216"/>
      <c r="P78" s="216"/>
      <c r="Q78" s="215"/>
      <c r="R78" s="214"/>
      <c r="S78" s="227"/>
    </row>
    <row r="79" spans="1:19">
      <c r="A79" s="214"/>
      <c r="B79" s="214"/>
      <c r="C79" s="214"/>
      <c r="D79" s="215"/>
      <c r="E79" s="214"/>
      <c r="F79" s="216"/>
      <c r="G79" s="216"/>
      <c r="H79" s="216"/>
      <c r="I79" s="217"/>
      <c r="J79" s="216"/>
      <c r="K79" s="216"/>
      <c r="L79" s="216"/>
      <c r="M79" s="215"/>
      <c r="N79" s="214"/>
      <c r="O79" s="216"/>
      <c r="P79" s="216"/>
      <c r="Q79" s="215"/>
      <c r="R79" s="214"/>
      <c r="S79" s="221"/>
    </row>
    <row r="80" spans="1:19">
      <c r="A80" s="214"/>
      <c r="B80" s="214"/>
      <c r="C80" s="214"/>
      <c r="D80" s="215"/>
      <c r="E80" s="214"/>
      <c r="F80" s="216"/>
      <c r="G80" s="216"/>
      <c r="H80" s="216"/>
      <c r="I80" s="217"/>
      <c r="J80" s="216"/>
      <c r="K80" s="216"/>
      <c r="L80" s="216"/>
      <c r="M80" s="215"/>
      <c r="N80" s="214"/>
      <c r="O80" s="216"/>
      <c r="P80" s="216"/>
      <c r="Q80" s="215"/>
      <c r="R80" s="214"/>
      <c r="S80" s="221"/>
    </row>
    <row r="81" spans="1:19">
      <c r="A81" s="214"/>
      <c r="B81" s="214"/>
      <c r="C81" s="214"/>
      <c r="D81" s="215"/>
      <c r="E81" s="214"/>
      <c r="F81" s="216"/>
      <c r="G81" s="216"/>
      <c r="H81" s="216"/>
      <c r="I81" s="216"/>
      <c r="J81" s="216"/>
      <c r="K81" s="216"/>
      <c r="L81" s="216"/>
      <c r="M81" s="215"/>
      <c r="N81" s="214"/>
      <c r="O81" s="216"/>
      <c r="P81" s="216"/>
      <c r="Q81" s="215"/>
      <c r="R81" s="214"/>
      <c r="S81" s="221"/>
    </row>
    <row r="84" spans="1:19">
      <c r="A84" s="175" t="str">
        <f>A6</f>
        <v>Chicken manure, at farm</v>
      </c>
      <c r="B84" s="201">
        <v>-3</v>
      </c>
      <c r="C84" s="201" t="s">
        <v>149</v>
      </c>
      <c r="D84" s="88"/>
      <c r="E84" s="88"/>
      <c r="F84" s="88" t="s">
        <v>150</v>
      </c>
      <c r="G84" s="88"/>
      <c r="H84" s="88"/>
      <c r="I84" s="88"/>
      <c r="J84" s="88"/>
      <c r="K84" s="89"/>
    </row>
    <row r="85" spans="1:19">
      <c r="A85" s="175" t="str">
        <f>A10</f>
        <v>Cow manure, at farm</v>
      </c>
      <c r="B85" s="201">
        <v>-3</v>
      </c>
      <c r="C85" s="201" t="s">
        <v>149</v>
      </c>
      <c r="D85" s="88"/>
      <c r="E85" s="88"/>
      <c r="F85" s="88" t="s">
        <v>150</v>
      </c>
      <c r="G85" s="88"/>
      <c r="H85" s="88"/>
      <c r="I85" s="88"/>
      <c r="J85" s="88"/>
      <c r="K85" s="89"/>
    </row>
    <row r="86" spans="1:19">
      <c r="A86" s="175" t="str">
        <f>A12</f>
        <v>Food processing waste, at processing plant</v>
      </c>
      <c r="B86" s="202">
        <v>-238210</v>
      </c>
      <c r="C86" s="201" t="s">
        <v>151</v>
      </c>
      <c r="D86" s="88"/>
      <c r="E86" s="88"/>
      <c r="F86" s="88" t="s">
        <v>152</v>
      </c>
      <c r="G86" s="88"/>
      <c r="H86" s="88"/>
      <c r="I86" s="88"/>
      <c r="J86" s="88"/>
      <c r="K86" s="89"/>
    </row>
    <row r="87" spans="1:19">
      <c r="A87" s="175" t="str">
        <f>A22</f>
        <v>Municipal organics</v>
      </c>
      <c r="B87" s="182"/>
      <c r="C87" s="182"/>
      <c r="D87" s="182"/>
      <c r="E87" s="182"/>
      <c r="F87" s="182"/>
      <c r="G87" s="182"/>
      <c r="H87" s="182"/>
      <c r="I87" s="182"/>
      <c r="J87" s="182"/>
      <c r="K87" s="183"/>
    </row>
    <row r="88" spans="1:19">
      <c r="A88" s="175" t="str">
        <f>A22</f>
        <v>Municipal organics</v>
      </c>
      <c r="B88" s="182"/>
      <c r="C88" s="182"/>
      <c r="D88" s="182"/>
      <c r="E88" s="182"/>
      <c r="F88" s="182"/>
      <c r="G88" s="182"/>
      <c r="H88" s="182"/>
      <c r="I88" s="182"/>
      <c r="J88" s="182"/>
      <c r="K88" s="183"/>
    </row>
    <row r="89" spans="1:19">
      <c r="A89" s="184" t="s">
        <v>153</v>
      </c>
      <c r="K89" s="185"/>
    </row>
    <row r="90" spans="1:19">
      <c r="A90" s="184" t="s">
        <v>154</v>
      </c>
      <c r="B90" s="186">
        <v>0.59</v>
      </c>
      <c r="C90" t="s">
        <v>155</v>
      </c>
      <c r="F90" t="s">
        <v>156</v>
      </c>
      <c r="K90" s="185"/>
    </row>
    <row r="91" spans="1:19">
      <c r="A91" s="184" t="s">
        <v>157</v>
      </c>
      <c r="B91" s="186">
        <v>0.41</v>
      </c>
      <c r="F91" t="s">
        <v>158</v>
      </c>
      <c r="K91" s="185"/>
    </row>
    <row r="92" spans="1:19">
      <c r="A92" s="184" t="s">
        <v>159</v>
      </c>
      <c r="B92" s="186">
        <v>0.71</v>
      </c>
      <c r="C92" t="s">
        <v>160</v>
      </c>
      <c r="F92" t="s">
        <v>161</v>
      </c>
      <c r="K92" s="185"/>
    </row>
    <row r="93" spans="1:19">
      <c r="A93" s="184" t="s">
        <v>162</v>
      </c>
      <c r="B93" s="186">
        <v>1</v>
      </c>
      <c r="F93" t="s">
        <v>163</v>
      </c>
      <c r="K93" s="185"/>
    </row>
    <row r="94" spans="1:19">
      <c r="A94" s="187" t="s">
        <v>164</v>
      </c>
      <c r="B94" s="186">
        <v>0.20665499124343259</v>
      </c>
      <c r="F94" t="s">
        <v>165</v>
      </c>
      <c r="K94" s="185"/>
    </row>
    <row r="95" spans="1:19">
      <c r="A95" s="187" t="s">
        <v>166</v>
      </c>
      <c r="B95" s="186">
        <v>0</v>
      </c>
      <c r="F95" t="s">
        <v>167</v>
      </c>
      <c r="K95" s="185"/>
    </row>
    <row r="96" spans="1:19">
      <c r="A96" s="187" t="s">
        <v>168</v>
      </c>
      <c r="B96" s="186">
        <v>0</v>
      </c>
      <c r="F96" t="s">
        <v>169</v>
      </c>
      <c r="K96" s="185"/>
    </row>
    <row r="97" spans="1:11">
      <c r="A97" s="187" t="s">
        <v>170</v>
      </c>
      <c r="B97" s="186">
        <v>0</v>
      </c>
      <c r="F97" t="s">
        <v>171</v>
      </c>
      <c r="K97" s="185"/>
    </row>
    <row r="98" spans="1:11">
      <c r="A98" s="187" t="s">
        <v>172</v>
      </c>
      <c r="B98" s="186">
        <v>0</v>
      </c>
      <c r="F98" t="s">
        <v>173</v>
      </c>
      <c r="K98" s="185"/>
    </row>
    <row r="99" spans="1:11">
      <c r="A99" s="187" t="s">
        <v>174</v>
      </c>
      <c r="B99" s="186">
        <v>0</v>
      </c>
      <c r="F99" t="s">
        <v>175</v>
      </c>
      <c r="K99" s="185"/>
    </row>
    <row r="100" spans="1:11">
      <c r="A100" s="187" t="s">
        <v>176</v>
      </c>
      <c r="B100" s="186">
        <v>0</v>
      </c>
      <c r="F100" t="s">
        <v>177</v>
      </c>
      <c r="K100" s="185"/>
    </row>
    <row r="101" spans="1:11">
      <c r="A101" s="187" t="s">
        <v>178</v>
      </c>
      <c r="B101" s="186">
        <v>5.954465849387041E-2</v>
      </c>
      <c r="F101" t="s">
        <v>179</v>
      </c>
      <c r="K101" s="185"/>
    </row>
    <row r="102" spans="1:11">
      <c r="A102" s="187" t="s">
        <v>180</v>
      </c>
      <c r="B102" s="186">
        <v>0</v>
      </c>
      <c r="F102" t="s">
        <v>181</v>
      </c>
      <c r="K102" s="185"/>
    </row>
    <row r="103" spans="1:11">
      <c r="A103" s="187" t="s">
        <v>182</v>
      </c>
      <c r="B103" s="186">
        <v>0.14535901926444836</v>
      </c>
      <c r="F103" t="s">
        <v>183</v>
      </c>
      <c r="K103" s="185"/>
    </row>
    <row r="104" spans="1:11">
      <c r="A104" s="187" t="s">
        <v>184</v>
      </c>
      <c r="B104" s="186">
        <v>0</v>
      </c>
      <c r="F104" t="s">
        <v>185</v>
      </c>
      <c r="K104" s="185"/>
    </row>
    <row r="105" spans="1:11">
      <c r="A105" s="187" t="s">
        <v>186</v>
      </c>
      <c r="B105" s="186">
        <v>0.42206654991243436</v>
      </c>
      <c r="F105" t="s">
        <v>187</v>
      </c>
      <c r="K105" s="185"/>
    </row>
    <row r="106" spans="1:11">
      <c r="A106" s="187" t="s">
        <v>188</v>
      </c>
      <c r="B106" s="186">
        <v>0.12609457092819615</v>
      </c>
      <c r="F106" t="s">
        <v>189</v>
      </c>
      <c r="K106" s="185"/>
    </row>
    <row r="107" spans="1:11">
      <c r="A107" s="187" t="s">
        <v>190</v>
      </c>
      <c r="B107" s="186">
        <v>4.0280210157618214E-2</v>
      </c>
      <c r="F107" t="s">
        <v>191</v>
      </c>
      <c r="K107" s="185"/>
    </row>
    <row r="108" spans="1:11">
      <c r="A108" s="156" t="s">
        <v>192</v>
      </c>
      <c r="K108" s="185"/>
    </row>
    <row r="109" spans="1:11">
      <c r="A109" s="184" t="s">
        <v>193</v>
      </c>
      <c r="B109" s="188">
        <v>8626.7878670839382</v>
      </c>
      <c r="C109" t="s">
        <v>194</v>
      </c>
      <c r="F109" t="s">
        <v>195</v>
      </c>
      <c r="K109" s="185"/>
    </row>
    <row r="110" spans="1:11">
      <c r="A110" s="189" t="s">
        <v>193</v>
      </c>
      <c r="B110" s="203">
        <f>B109/1000/1000</f>
        <v>8.626787867083938E-3</v>
      </c>
      <c r="C110" s="203" t="s">
        <v>196</v>
      </c>
      <c r="D110" s="190"/>
      <c r="E110" s="190"/>
      <c r="F110" s="190"/>
      <c r="G110" s="190"/>
      <c r="H110" s="190"/>
      <c r="I110" s="190"/>
      <c r="J110" s="190"/>
      <c r="K110" s="191"/>
    </row>
    <row r="111" spans="1:11">
      <c r="A111" s="175" t="str">
        <f>A26</f>
        <v>Sewage sludge to digestor</v>
      </c>
      <c r="B111" s="201">
        <v>412</v>
      </c>
      <c r="C111" s="201"/>
      <c r="D111" s="88"/>
      <c r="E111" s="88"/>
      <c r="F111" s="88" t="s">
        <v>197</v>
      </c>
      <c r="G111" s="88"/>
      <c r="H111" s="88"/>
      <c r="I111" s="88"/>
      <c r="J111" s="88"/>
      <c r="K111" s="89"/>
    </row>
    <row r="112" spans="1:11">
      <c r="A112" s="205" t="str">
        <f>A66</f>
        <v xml:space="preserve">CO2 Pipeline (do not include pipeline to customer) </v>
      </c>
      <c r="B112" s="182"/>
      <c r="C112" s="182"/>
      <c r="D112" s="182"/>
      <c r="E112" s="182"/>
      <c r="F112" s="182"/>
      <c r="G112" s="182"/>
      <c r="H112" s="182"/>
      <c r="I112" s="182"/>
      <c r="J112" s="182"/>
      <c r="K112" s="183"/>
    </row>
    <row r="113" spans="1:11">
      <c r="A113" s="156" t="s">
        <v>198</v>
      </c>
      <c r="B113">
        <v>5297</v>
      </c>
      <c r="C113" t="s">
        <v>199</v>
      </c>
      <c r="F113" t="s">
        <v>200</v>
      </c>
      <c r="K113" s="185"/>
    </row>
    <row r="114" spans="1:11">
      <c r="A114" s="184" t="s">
        <v>201</v>
      </c>
      <c r="B114">
        <v>65</v>
      </c>
      <c r="C114" t="s">
        <v>202</v>
      </c>
      <c r="F114" t="s">
        <v>203</v>
      </c>
      <c r="K114" s="185"/>
    </row>
    <row r="115" spans="1:11">
      <c r="A115" s="230" t="s">
        <v>198</v>
      </c>
      <c r="B115" s="204">
        <f>B113/1000/(65*'Unit Conversions'!F39)</f>
        <v>5.0637098246677323E-2</v>
      </c>
      <c r="C115" s="204" t="s">
        <v>204</v>
      </c>
      <c r="D115" s="190"/>
      <c r="E115" s="190"/>
      <c r="F115" s="190"/>
      <c r="G115" s="190"/>
      <c r="H115" s="190"/>
      <c r="I115" s="190"/>
      <c r="J115" s="190"/>
      <c r="K115" s="191"/>
    </row>
    <row r="116" spans="1:11">
      <c r="A116" s="163"/>
      <c r="B116" s="163"/>
      <c r="C116" s="163"/>
    </row>
    <row r="117" spans="1:11">
      <c r="A117" s="175" t="str">
        <f>A77</f>
        <v>Waste to incineration</v>
      </c>
      <c r="B117" s="166"/>
      <c r="C117" s="166"/>
      <c r="D117" s="182"/>
      <c r="E117" s="182"/>
      <c r="F117" s="182"/>
      <c r="G117" s="182"/>
      <c r="H117" s="182"/>
      <c r="I117" s="182"/>
      <c r="J117" s="182"/>
      <c r="K117" s="183"/>
    </row>
    <row r="118" spans="1:11">
      <c r="A118" s="231" t="s">
        <v>205</v>
      </c>
      <c r="B118" s="163"/>
      <c r="C118" s="163"/>
      <c r="K118" s="185"/>
    </row>
    <row r="119" spans="1:11">
      <c r="A119" s="231" t="s">
        <v>206</v>
      </c>
      <c r="B119" s="164">
        <v>0</v>
      </c>
      <c r="C119" s="163"/>
      <c r="F119" t="s">
        <v>156</v>
      </c>
      <c r="K119" s="185"/>
    </row>
    <row r="120" spans="1:11">
      <c r="A120" s="231" t="s">
        <v>157</v>
      </c>
      <c r="B120" s="164">
        <v>1</v>
      </c>
      <c r="C120" s="163"/>
      <c r="F120" t="s">
        <v>158</v>
      </c>
      <c r="K120" s="185"/>
    </row>
    <row r="121" spans="1:11">
      <c r="A121" s="230" t="str">
        <f>A77</f>
        <v>Waste to incineration</v>
      </c>
      <c r="B121" s="167">
        <f>I77</f>
        <v>-348.50336462474604</v>
      </c>
      <c r="C121" s="168"/>
      <c r="D121" s="190"/>
      <c r="E121" s="190"/>
      <c r="F121" s="190" t="s">
        <v>207</v>
      </c>
      <c r="G121" s="190"/>
      <c r="H121" s="190"/>
      <c r="I121" s="190"/>
      <c r="J121" s="190"/>
      <c r="K121" s="191"/>
    </row>
    <row r="122" spans="1:11">
      <c r="A122" s="175" t="str">
        <f>A78</f>
        <v>Waste to landfill</v>
      </c>
      <c r="B122" s="166"/>
      <c r="C122" s="166"/>
      <c r="D122" s="182"/>
      <c r="E122" s="182"/>
      <c r="F122" s="182"/>
      <c r="G122" s="182"/>
      <c r="H122" s="182"/>
      <c r="I122" s="182"/>
      <c r="J122" s="182"/>
      <c r="K122" s="183"/>
    </row>
    <row r="123" spans="1:11">
      <c r="A123" s="231" t="s">
        <v>205</v>
      </c>
      <c r="B123" s="163"/>
      <c r="C123" s="163"/>
      <c r="K123" s="185"/>
    </row>
    <row r="124" spans="1:11">
      <c r="A124" s="231" t="s">
        <v>206</v>
      </c>
      <c r="B124" s="164">
        <v>1</v>
      </c>
      <c r="C124" s="163"/>
      <c r="F124" t="s">
        <v>156</v>
      </c>
      <c r="K124" s="185"/>
    </row>
    <row r="125" spans="1:11">
      <c r="A125" s="231" t="s">
        <v>157</v>
      </c>
      <c r="B125" s="164">
        <v>0</v>
      </c>
      <c r="C125" s="163"/>
      <c r="F125" t="s">
        <v>158</v>
      </c>
      <c r="K125" s="185"/>
    </row>
    <row r="126" spans="1:11">
      <c r="A126" s="230" t="str">
        <f>A78</f>
        <v>Waste to landfill</v>
      </c>
      <c r="B126" s="169">
        <f>I78</f>
        <v>-51.584818757148994</v>
      </c>
      <c r="C126" s="168"/>
      <c r="D126" s="190"/>
      <c r="E126" s="190"/>
      <c r="F126" s="190" t="s">
        <v>207</v>
      </c>
      <c r="G126" s="190"/>
      <c r="H126" s="190"/>
      <c r="I126" s="190"/>
      <c r="J126" s="190"/>
      <c r="K126" s="191"/>
    </row>
    <row r="127" spans="1:11">
      <c r="A127" s="177" t="s">
        <v>208</v>
      </c>
      <c r="B127" s="176"/>
      <c r="C127" s="176"/>
      <c r="D127" s="176"/>
      <c r="E127" s="176"/>
      <c r="F127" s="176"/>
      <c r="G127" s="176"/>
      <c r="H127" s="176"/>
      <c r="I127" s="176"/>
      <c r="J127" s="176"/>
      <c r="K127" s="200"/>
    </row>
    <row r="128" spans="1:11">
      <c r="A128" s="192" t="s">
        <v>209</v>
      </c>
      <c r="B128" s="193" t="s">
        <v>210</v>
      </c>
      <c r="C128" s="182"/>
      <c r="D128" s="182"/>
      <c r="E128" s="182"/>
      <c r="F128" s="182"/>
      <c r="G128" s="182"/>
      <c r="H128" s="182"/>
      <c r="I128" s="182"/>
      <c r="J128" s="182"/>
      <c r="K128" s="183"/>
    </row>
    <row r="129" spans="1:11">
      <c r="A129" s="184" t="s">
        <v>63</v>
      </c>
      <c r="B129" s="194" t="s">
        <v>211</v>
      </c>
      <c r="K129" s="185"/>
    </row>
    <row r="130" spans="1:11">
      <c r="A130" s="184"/>
      <c r="B130" t="s">
        <v>212</v>
      </c>
      <c r="K130" s="185"/>
    </row>
    <row r="131" spans="1:11">
      <c r="A131" s="184" t="s">
        <v>143</v>
      </c>
      <c r="B131" s="194" t="s">
        <v>211</v>
      </c>
      <c r="K131" s="185"/>
    </row>
    <row r="132" spans="1:11">
      <c r="A132" s="189"/>
      <c r="B132" s="190" t="s">
        <v>213</v>
      </c>
      <c r="C132" s="190"/>
      <c r="D132" s="190"/>
      <c r="E132" s="190"/>
      <c r="F132" s="190"/>
      <c r="G132" s="190"/>
      <c r="H132" s="190"/>
      <c r="I132" s="190"/>
      <c r="J132" s="190"/>
      <c r="K132" s="191"/>
    </row>
    <row r="134" spans="1:11">
      <c r="A134" s="177" t="s">
        <v>214</v>
      </c>
      <c r="B134" s="176"/>
      <c r="C134" s="176"/>
      <c r="D134" s="176"/>
      <c r="E134" s="176"/>
      <c r="F134" s="176"/>
      <c r="G134" s="176"/>
      <c r="H134" s="176"/>
      <c r="I134" s="176"/>
      <c r="J134" s="176"/>
      <c r="K134" s="200"/>
    </row>
    <row r="135" spans="1:11">
      <c r="A135" s="192" t="s">
        <v>215</v>
      </c>
      <c r="B135" s="195" t="s">
        <v>216</v>
      </c>
      <c r="C135" s="182"/>
      <c r="D135" s="182"/>
      <c r="E135" s="182"/>
      <c r="F135" s="182"/>
      <c r="G135" s="182"/>
      <c r="H135" s="182"/>
      <c r="I135" s="182"/>
      <c r="J135" s="182"/>
      <c r="K135" s="183"/>
    </row>
    <row r="136" spans="1:11">
      <c r="A136" s="184"/>
      <c r="B136" s="194" t="s">
        <v>217</v>
      </c>
      <c r="K136" s="185"/>
    </row>
    <row r="137" spans="1:11">
      <c r="A137" s="184" t="s">
        <v>218</v>
      </c>
      <c r="B137" s="194" t="s">
        <v>219</v>
      </c>
      <c r="K137" s="185"/>
    </row>
    <row r="138" spans="1:11">
      <c r="A138" s="184" t="s">
        <v>220</v>
      </c>
      <c r="B138" s="194" t="s">
        <v>221</v>
      </c>
      <c r="K138" s="185"/>
    </row>
    <row r="139" spans="1:11">
      <c r="A139" s="184"/>
      <c r="K139" s="185"/>
    </row>
    <row r="140" spans="1:11">
      <c r="A140" s="189"/>
      <c r="B140" s="190"/>
      <c r="C140" s="190"/>
      <c r="D140" s="190"/>
      <c r="E140" s="190"/>
      <c r="F140" s="190"/>
      <c r="G140" s="190"/>
      <c r="H140" s="190"/>
      <c r="I140" s="190"/>
      <c r="J140" s="190"/>
      <c r="K140" s="191"/>
    </row>
  </sheetData>
  <sheetProtection algorithmName="SHA-512" hashValue="hXpTD7mwN39w4kW0D1xPdzvIlK9K6k2dnkp0Yl78ttnMT2WjHCE8OxXfhUARR//WqLIo4witRqznlWLQO++H+w==" saltValue="gKxa+apjAv4pR/uiHku/Mg==" spinCount="100000" sheet="1" objects="1" scenarios="1"/>
  <sortState xmlns:xlrd2="http://schemas.microsoft.com/office/spreadsheetml/2017/richdata2" ref="A6:S32">
    <sortCondition ref="A6:A32"/>
  </sortState>
  <phoneticPr fontId="16" type="noConversion"/>
  <hyperlinks>
    <hyperlink ref="B131" r:id="rId1" display="https://view.officeapps.live.com/op/view.aspx?src=https%3A%2F%2Fnetl.doe.gov%2Fprojects%2Ffiles%2FNETLCO2ULCADocumentationSpreadsheet_061722.xlsx&amp;wd" xr:uid="{0E52B398-CA29-4EF5-ABD2-DCADD109EF70}"/>
    <hyperlink ref="B138" r:id="rId2" display="https://view.officeapps.live.com/op/view.aspx?src=https%3A%2F%2Fwww.netl.doe.gov%2Fprojects%2Ffiles%2FNETL45QLCAReportTemplate_022322.docx&amp;wdOrigin=BROWSELINK" xr:uid="{3FDD79B8-EA77-4663-AC96-1A28844BF22E}"/>
    <hyperlink ref="B135" r:id="rId3" display="https://www.irs.gov/pub/irs-pdf/f8933.pdf" xr:uid="{23CBD945-054C-4CDA-98CD-BD8371BE2499}"/>
    <hyperlink ref="B136" r:id="rId4" display="https://www.irs.gov/forms-pubs/about-form-8933" xr:uid="{26890365-06DD-4FFD-9358-76DA31B574AE}"/>
    <hyperlink ref="B137" r:id="rId5" display="https://www.irs.gov/instructions/i8933" xr:uid="{DD7C44FB-A9FA-4B0E-82E2-2507897005FF}"/>
    <hyperlink ref="B129" r:id="rId6" display="https://view.officeapps.live.com/op/view.aspx?src=https%3A%2F%2Fnetl.doe.gov%2Fprojects%2Ffiles%2FNETLCO2ULCADocumentationSpreadsheet_061722.xlsx&amp;wd" xr:uid="{E10BD330-7D2C-441C-A01C-7AF6E401BC92}"/>
    <hyperlink ref="B128" r:id="rId7" display="https://greet.anl.gov/index.php?content=download1x" xr:uid="{CDC28F75-8A9A-4E21-AF46-059E0CDCC5B5}"/>
  </hyperlinks>
  <pageMargins left="0.7" right="0.7" top="0.75" bottom="0.75" header="0.3" footer="0.3"/>
  <legacyDrawing r:id="rId8"/>
  <picture r:id="rId9"/>
  <tableParts count="1">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1BAC5-1076-48AE-A8DC-BEB36ED47035}">
  <sheetPr codeName="Sheet4">
    <tabColor theme="0" tint="-0.499984740745262"/>
  </sheetPr>
  <dimension ref="A1:Y45"/>
  <sheetViews>
    <sheetView showGridLines="0" topLeftCell="B23" zoomScale="75" zoomScaleNormal="75" workbookViewId="0">
      <selection activeCell="A36" sqref="A36"/>
    </sheetView>
  </sheetViews>
  <sheetFormatPr defaultColWidth="8.85546875" defaultRowHeight="15"/>
  <cols>
    <col min="1" max="1" width="33.42578125" customWidth="1"/>
    <col min="3" max="3" width="12.7109375" customWidth="1"/>
    <col min="4" max="4" width="14.42578125" customWidth="1"/>
    <col min="5" max="5" width="22.85546875" customWidth="1"/>
    <col min="7" max="7" width="30.42578125" customWidth="1"/>
    <col min="8" max="8" width="25.42578125" customWidth="1"/>
    <col min="9" max="9" width="32.85546875" customWidth="1"/>
    <col min="10" max="10" width="12.28515625" customWidth="1"/>
    <col min="11" max="11" width="13.140625" customWidth="1"/>
    <col min="12" max="12" width="3.85546875" customWidth="1"/>
    <col min="13" max="13" width="14" customWidth="1"/>
    <col min="14" max="14" width="5.42578125" customWidth="1"/>
    <col min="15" max="15" width="29.140625" customWidth="1"/>
    <col min="16" max="16" width="19.28515625" customWidth="1"/>
    <col min="17" max="17" width="17.28515625" customWidth="1"/>
    <col min="18" max="18" width="13.42578125" customWidth="1"/>
    <col min="19" max="19" width="36.140625" customWidth="1"/>
    <col min="20" max="20" width="7.28515625" customWidth="1"/>
    <col min="21" max="21" width="60.42578125" customWidth="1"/>
    <col min="25" max="25" width="36.42578125" customWidth="1"/>
  </cols>
  <sheetData>
    <row r="1" spans="1:25" ht="24.75" thickTop="1" thickBot="1">
      <c r="A1" s="196" t="str">
        <f>'CO2 Production Data &amp; Results '!A1</f>
        <v>Details of CO2 Production Process</v>
      </c>
      <c r="B1" s="157"/>
      <c r="C1" s="157"/>
      <c r="D1" s="157"/>
      <c r="E1" s="157"/>
      <c r="F1" s="157"/>
      <c r="G1" s="157"/>
      <c r="O1" s="100" t="s">
        <v>222</v>
      </c>
      <c r="P1" s="100"/>
      <c r="Q1" s="100"/>
      <c r="R1" s="100"/>
      <c r="S1" s="100" t="s">
        <v>223</v>
      </c>
      <c r="U1" s="100" t="s">
        <v>224</v>
      </c>
      <c r="V1" s="100" t="s">
        <v>225</v>
      </c>
      <c r="W1" s="100"/>
      <c r="X1" s="100"/>
      <c r="Y1" s="100"/>
    </row>
    <row r="2" spans="1:25" ht="16.5" thickTop="1" thickBot="1">
      <c r="O2" s="198"/>
      <c r="P2" s="198" t="s">
        <v>226</v>
      </c>
      <c r="Q2" s="198" t="s">
        <v>227</v>
      </c>
      <c r="R2" s="198" t="s">
        <v>228</v>
      </c>
      <c r="S2" s="198"/>
      <c r="U2" s="197"/>
      <c r="V2" s="197" t="s">
        <v>229</v>
      </c>
      <c r="W2" s="197" t="s">
        <v>230</v>
      </c>
      <c r="X2" s="197" t="s">
        <v>231</v>
      </c>
      <c r="Y2" s="197" t="s">
        <v>232</v>
      </c>
    </row>
    <row r="3" spans="1:25" ht="16.5" thickTop="1" thickBot="1">
      <c r="A3" s="132" t="str">
        <f>'CO2 Production Data &amp; Results '!A3</f>
        <v>Products and Co-Products</v>
      </c>
      <c r="B3" s="132" t="str">
        <f>'CO2 Production Data &amp; Results '!B3</f>
        <v>Quantity</v>
      </c>
      <c r="C3" s="132" t="str">
        <f>'CO2 Production Data &amp; Results '!C3</f>
        <v>Unit</v>
      </c>
      <c r="D3" s="132"/>
      <c r="E3" s="132"/>
      <c r="F3" s="132"/>
      <c r="H3" s="90" t="s">
        <v>233</v>
      </c>
      <c r="I3" s="90">
        <f>SUM(B4:B8)</f>
        <v>0</v>
      </c>
      <c r="J3" s="90" t="s">
        <v>147</v>
      </c>
      <c r="K3" s="90" t="s">
        <v>147</v>
      </c>
      <c r="O3" s="111" t="s">
        <v>234</v>
      </c>
      <c r="P3" s="103">
        <v>199.5</v>
      </c>
      <c r="Q3" s="112" t="e">
        <f>I17/B4</f>
        <v>#DIV/0!</v>
      </c>
      <c r="R3" s="103"/>
      <c r="S3" s="103"/>
      <c r="U3" s="99" t="s">
        <v>235</v>
      </c>
      <c r="V3" s="108" t="e">
        <f>P14*$S$10</f>
        <v>#DIV/0!</v>
      </c>
      <c r="W3" s="108" t="e">
        <f>Q17*$S$10</f>
        <v>#DIV/0!</v>
      </c>
      <c r="X3" s="108" t="e">
        <f>R17*$S$10</f>
        <v>#DIV/0!</v>
      </c>
      <c r="Y3" s="108" t="e">
        <f>S17*$S$10</f>
        <v>#DIV/0!</v>
      </c>
    </row>
    <row r="4" spans="1:25" ht="15.75" thickTop="1">
      <c r="A4" s="101" t="str">
        <f>'CO2 Production Data &amp; Results '!A4</f>
        <v>CO2</v>
      </c>
      <c r="B4" s="101">
        <f>'CO2 Production Data &amp; Results '!B4</f>
        <v>0</v>
      </c>
      <c r="C4" s="101" t="str">
        <f>'CO2 Production Data &amp; Results '!C4</f>
        <v>Metric tons</v>
      </c>
      <c r="D4" s="133">
        <f>'CO2 Production Data &amp; Results '!D4</f>
        <v>0</v>
      </c>
      <c r="E4" s="252" t="str">
        <f>'CO2 Production Data &amp; Results '!E4</f>
        <v>% is Biogenic</v>
      </c>
      <c r="H4" s="90" t="s">
        <v>236</v>
      </c>
      <c r="I4" s="94" t="e">
        <f>B4/I3</f>
        <v>#DIV/0!</v>
      </c>
      <c r="J4" s="90"/>
      <c r="K4" s="90"/>
      <c r="O4" s="115" t="s">
        <v>237</v>
      </c>
      <c r="P4" s="97">
        <v>97.568747040000019</v>
      </c>
      <c r="Q4" s="116" t="e">
        <f>I41/B4</f>
        <v>#DIV/0!</v>
      </c>
      <c r="R4" s="97"/>
      <c r="S4" s="97"/>
      <c r="U4" s="90" t="s">
        <v>238</v>
      </c>
      <c r="V4" s="92" t="e">
        <f>P15*$S$10</f>
        <v>#DIV/0!</v>
      </c>
      <c r="W4" s="92" t="e">
        <f>Q18*$S$10</f>
        <v>#DIV/0!</v>
      </c>
      <c r="X4" s="92" t="e">
        <f t="shared" ref="X4:Y4" si="0">R18*$S$10</f>
        <v>#DIV/0!</v>
      </c>
      <c r="Y4" s="92" t="e">
        <f t="shared" si="0"/>
        <v>#DIV/0!</v>
      </c>
    </row>
    <row r="5" spans="1:25">
      <c r="A5" s="95">
        <f>'CO2 Production Data &amp; Results '!A5</f>
        <v>0</v>
      </c>
      <c r="B5" s="95">
        <f>'CO2 Production Data &amp; Results '!B5</f>
        <v>0</v>
      </c>
      <c r="C5" s="95" t="str">
        <f>'CO2 Production Data &amp; Results '!C5</f>
        <v>Metric tons</v>
      </c>
      <c r="H5" s="90" t="s">
        <v>239</v>
      </c>
      <c r="I5" s="90">
        <f>B4*D4*1000</f>
        <v>0</v>
      </c>
      <c r="J5" s="90" t="s">
        <v>240</v>
      </c>
      <c r="K5" s="90"/>
      <c r="O5" s="120" t="s">
        <v>241</v>
      </c>
      <c r="P5" s="97">
        <v>175.09588109335101</v>
      </c>
      <c r="Q5" s="121" t="e">
        <f>K41/B4</f>
        <v>#DIV/0!</v>
      </c>
      <c r="R5" s="97"/>
      <c r="S5" s="97"/>
      <c r="U5" s="90" t="s">
        <v>242</v>
      </c>
      <c r="V5" s="92" t="e">
        <f>P16*$S$10</f>
        <v>#DIV/0!</v>
      </c>
      <c r="W5" s="92" t="e">
        <f>Q19*$S$10</f>
        <v>#DIV/0!</v>
      </c>
      <c r="X5" s="92" t="e">
        <f>R19*$S$10</f>
        <v>#DIV/0!</v>
      </c>
      <c r="Y5" s="92" t="e">
        <f>S19*$S$10</f>
        <v>#DIV/0!</v>
      </c>
    </row>
    <row r="6" spans="1:25">
      <c r="A6" s="95">
        <f>'CO2 Production Data &amp; Results '!A6</f>
        <v>0</v>
      </c>
      <c r="B6" s="95">
        <f>'CO2 Production Data &amp; Results '!B6</f>
        <v>0</v>
      </c>
      <c r="C6" s="95" t="str">
        <f>'CO2 Production Data &amp; Results '!C6</f>
        <v>Metric tons</v>
      </c>
      <c r="O6" s="90" t="s">
        <v>243</v>
      </c>
      <c r="P6" s="97">
        <v>43.357680000000002</v>
      </c>
      <c r="Q6" s="97" t="s">
        <v>244</v>
      </c>
      <c r="R6" s="97"/>
      <c r="S6" s="97"/>
      <c r="U6" s="90" t="s">
        <v>245</v>
      </c>
      <c r="V6" s="92"/>
      <c r="W6" s="92"/>
      <c r="X6" s="92" t="e">
        <f>R22*$S$10</f>
        <v>#DIV/0!</v>
      </c>
      <c r="Y6" s="92" t="e">
        <f>S22*$S$10</f>
        <v>#DIV/0!</v>
      </c>
    </row>
    <row r="7" spans="1:25">
      <c r="A7" s="95">
        <f>'CO2 Production Data &amp; Results '!A7</f>
        <v>0</v>
      </c>
      <c r="B7" s="95">
        <f>'CO2 Production Data &amp; Results '!B7</f>
        <v>0</v>
      </c>
      <c r="C7" s="95" t="str">
        <f>'CO2 Production Data &amp; Results '!C7</f>
        <v>Metric tons</v>
      </c>
      <c r="O7" s="90" t="s">
        <v>246</v>
      </c>
      <c r="P7" s="97">
        <v>5</v>
      </c>
      <c r="Q7" s="97"/>
      <c r="R7" s="97"/>
      <c r="S7" s="97"/>
      <c r="U7" s="90" t="s">
        <v>247</v>
      </c>
      <c r="V7" s="92"/>
      <c r="W7" s="92"/>
      <c r="X7" s="92" t="e">
        <f t="shared" ref="X7" si="1">R23*$S$10</f>
        <v>#DIV/0!</v>
      </c>
      <c r="Y7" s="92" t="e">
        <f>S23*$S$10</f>
        <v>#DIV/0!</v>
      </c>
    </row>
    <row r="8" spans="1:25">
      <c r="A8" s="95">
        <f>'CO2 Production Data &amp; Results '!A8</f>
        <v>0</v>
      </c>
      <c r="B8" s="95">
        <f>'CO2 Production Data &amp; Results '!B8</f>
        <v>0</v>
      </c>
      <c r="C8" s="95" t="str">
        <f>'CO2 Production Data &amp; Results '!C8</f>
        <v>Metric tons</v>
      </c>
      <c r="O8" s="152" t="s">
        <v>248</v>
      </c>
      <c r="P8" s="97">
        <v>600</v>
      </c>
      <c r="Q8" s="153">
        <f>1000*(1-D4)</f>
        <v>1000</v>
      </c>
      <c r="R8" s="97"/>
      <c r="S8" s="97"/>
      <c r="U8" s="90" t="s">
        <v>249</v>
      </c>
      <c r="V8" s="92"/>
      <c r="W8" s="92"/>
      <c r="X8" s="92" t="e">
        <f t="shared" ref="X8:Y8" si="2">R24*$S$10</f>
        <v>#DIV/0!</v>
      </c>
      <c r="Y8" s="92" t="e">
        <f t="shared" si="2"/>
        <v>#DIV/0!</v>
      </c>
    </row>
    <row r="9" spans="1:25" ht="15.75" thickBot="1">
      <c r="I9" t="s">
        <v>250</v>
      </c>
      <c r="K9" t="s">
        <v>251</v>
      </c>
      <c r="O9" s="154" t="s">
        <v>252</v>
      </c>
      <c r="P9" s="97">
        <v>400</v>
      </c>
      <c r="Q9" s="155">
        <f>1000*D4</f>
        <v>0</v>
      </c>
      <c r="R9" s="97"/>
      <c r="S9" s="97"/>
    </row>
    <row r="10" spans="1:25" ht="16.5" thickTop="1" thickBot="1">
      <c r="A10" s="110" t="str">
        <f>'CO2 Production Data &amp; Results '!A10</f>
        <v>Material Inputs (Select from Drop-Down)</v>
      </c>
      <c r="B10" s="110"/>
      <c r="C10" s="110"/>
      <c r="D10" s="110" t="s">
        <v>253</v>
      </c>
      <c r="I10" s="99" t="s">
        <v>254</v>
      </c>
      <c r="O10" s="93" t="s">
        <v>255</v>
      </c>
      <c r="P10" s="98">
        <f>SUM(P3:P9)</f>
        <v>1520.5223081333511</v>
      </c>
      <c r="Q10" s="98" t="e">
        <f>SUM(Q3:Q9)</f>
        <v>#DIV/0!</v>
      </c>
      <c r="R10" s="98" t="e">
        <f>P10-Q10</f>
        <v>#DIV/0!</v>
      </c>
      <c r="S10" s="199" t="e">
        <f>R10*B4/1000</f>
        <v>#DIV/0!</v>
      </c>
    </row>
    <row r="11" spans="1:25" ht="15.75" thickTop="1">
      <c r="A11" s="122">
        <f>'CO2 Production Data &amp; Results '!A11</f>
        <v>0</v>
      </c>
      <c r="B11" s="122">
        <f>'CO2 Production Data &amp; Results '!B11</f>
        <v>0</v>
      </c>
      <c r="C11" s="122" t="str">
        <f>'CO2 Production Data &amp; Results '!C11</f>
        <v>unit</v>
      </c>
      <c r="D11" s="123"/>
      <c r="E11" s="123"/>
      <c r="F11" s="123"/>
      <c r="G11" s="123"/>
      <c r="H11" s="123"/>
      <c r="I11" s="124">
        <f>IF(A11=0,0,(VLOOKUP(A11,'45Q Library'!$A$6:$S$32,9)*B11)+(VLOOKUP(A11,'45Q Library'!$A$6:$S$32,19)*B11))</f>
        <v>0</v>
      </c>
    </row>
    <row r="12" spans="1:25" ht="15.75" thickBot="1">
      <c r="A12" s="125">
        <f>'CO2 Production Data &amp; Results '!A12</f>
        <v>0</v>
      </c>
      <c r="B12" s="125">
        <f>'CO2 Production Data &amp; Results '!B12</f>
        <v>0</v>
      </c>
      <c r="C12" s="125" t="str">
        <f>'CO2 Production Data &amp; Results '!C12</f>
        <v>unit</v>
      </c>
      <c r="D12" s="123"/>
      <c r="E12" s="123"/>
      <c r="F12" s="123"/>
      <c r="G12" s="123"/>
      <c r="H12" s="123"/>
      <c r="I12" s="124">
        <f>IF(A12=0,0,(VLOOKUP(A12,'45Q Library'!$A$6:$S$32,9)*B12)+(VLOOKUP(A12,'45Q Library'!$A$6:$S$32,19)*B12))</f>
        <v>0</v>
      </c>
      <c r="O12" s="159"/>
      <c r="P12" s="159" t="s">
        <v>256</v>
      </c>
      <c r="Q12" s="159"/>
      <c r="R12" s="159"/>
      <c r="S12" s="159"/>
    </row>
    <row r="13" spans="1:25" ht="16.5" thickTop="1" thickBot="1">
      <c r="A13" s="125">
        <f>'CO2 Production Data &amp; Results '!A13</f>
        <v>0</v>
      </c>
      <c r="B13" s="125">
        <f>'CO2 Production Data &amp; Results '!B13</f>
        <v>0</v>
      </c>
      <c r="C13" s="125" t="str">
        <f>'CO2 Production Data &amp; Results '!C13</f>
        <v>unit</v>
      </c>
      <c r="D13" s="123"/>
      <c r="E13" s="123"/>
      <c r="F13" s="123"/>
      <c r="G13" s="123"/>
      <c r="H13" s="123"/>
      <c r="I13" s="124">
        <f>IF(A13=0,0,(VLOOKUP(A13,'45Q Library'!$A$6:$S$32,9)*B13)+(VLOOKUP(A13,'45Q Library'!$A$6:$S$32,19)*B13))</f>
        <v>0</v>
      </c>
      <c r="O13" s="100" t="s">
        <v>257</v>
      </c>
      <c r="P13" s="100" t="s">
        <v>258</v>
      </c>
      <c r="Q13" s="100" t="s">
        <v>259</v>
      </c>
      <c r="R13" s="100" t="s">
        <v>260</v>
      </c>
      <c r="S13" s="100" t="s">
        <v>232</v>
      </c>
    </row>
    <row r="14" spans="1:25" ht="15.75" thickTop="1">
      <c r="A14" s="125">
        <f>'CO2 Production Data &amp; Results '!A14</f>
        <v>0</v>
      </c>
      <c r="B14" s="125">
        <f>'CO2 Production Data &amp; Results '!B14</f>
        <v>0</v>
      </c>
      <c r="C14" s="125" t="str">
        <f>'CO2 Production Data &amp; Results '!C14</f>
        <v>unit</v>
      </c>
      <c r="D14" s="123"/>
      <c r="E14" s="123"/>
      <c r="F14" s="123"/>
      <c r="G14" s="123"/>
      <c r="H14" s="123"/>
      <c r="I14" s="124">
        <f>IF(A14=0,0,(VLOOKUP(A14,'45Q Library'!$A$6:$S$32,9)*B14)+(VLOOKUP(A14,'45Q Library'!$A$6:$S$32,19)*B14))</f>
        <v>0</v>
      </c>
      <c r="O14" s="99" t="s">
        <v>261</v>
      </c>
      <c r="P14" s="106">
        <v>25.07</v>
      </c>
      <c r="Q14" s="106"/>
      <c r="R14" s="106"/>
      <c r="S14" s="106"/>
    </row>
    <row r="15" spans="1:25">
      <c r="A15" s="125">
        <f>'CO2 Production Data &amp; Results '!A15</f>
        <v>0</v>
      </c>
      <c r="B15" s="125">
        <f>'CO2 Production Data &amp; Results '!B15</f>
        <v>0</v>
      </c>
      <c r="C15" s="125" t="str">
        <f>'CO2 Production Data &amp; Results '!C15</f>
        <v>unit</v>
      </c>
      <c r="D15" s="123"/>
      <c r="E15" s="123"/>
      <c r="F15" s="123"/>
      <c r="G15" s="123"/>
      <c r="H15" s="123"/>
      <c r="I15" s="124">
        <f>IF(A15=0,0,(VLOOKUP(A15,'45Q Library'!$A$6:$S$32,9)*B15)+(VLOOKUP(A15,'45Q Library'!$A$6:$S$32,19)*B15))</f>
        <v>0</v>
      </c>
      <c r="O15" s="90" t="s">
        <v>262</v>
      </c>
      <c r="P15" s="91">
        <v>12.53</v>
      </c>
      <c r="Q15" s="91"/>
      <c r="R15" s="91"/>
      <c r="S15" s="91"/>
    </row>
    <row r="16" spans="1:25" ht="15.75" thickBot="1">
      <c r="A16" s="125">
        <f>'CO2 Production Data &amp; Results '!A16</f>
        <v>0</v>
      </c>
      <c r="B16" s="125">
        <f>'CO2 Production Data &amp; Results '!B16</f>
        <v>0</v>
      </c>
      <c r="C16" s="125" t="str">
        <f>'CO2 Production Data &amp; Results '!C16</f>
        <v>unit</v>
      </c>
      <c r="D16" s="123"/>
      <c r="E16" s="123"/>
      <c r="F16" s="123"/>
      <c r="G16" s="123"/>
      <c r="H16" s="123"/>
      <c r="I16" s="124">
        <f>IF(A16=0,0,(VLOOKUP(A16,'45Q Library'!$A$6:$S$32,9)*B16)+(VLOOKUP(A16,'45Q Library'!$A$6:$S$32,19)*B16))</f>
        <v>0</v>
      </c>
      <c r="O16" s="90" t="s">
        <v>263</v>
      </c>
      <c r="P16" s="91">
        <v>12.53</v>
      </c>
      <c r="Q16" s="91"/>
      <c r="R16" s="91"/>
      <c r="S16" s="91"/>
    </row>
    <row r="17" spans="1:19" ht="16.5" thickTop="1" thickBot="1">
      <c r="H17" s="100" t="s">
        <v>264</v>
      </c>
      <c r="I17" s="112" t="e">
        <f>SUM(I11:I16)*I4</f>
        <v>#DIV/0!</v>
      </c>
      <c r="O17" s="90" t="s">
        <v>265</v>
      </c>
      <c r="P17" s="91"/>
      <c r="Q17" s="91">
        <v>37.85</v>
      </c>
      <c r="R17" s="91">
        <v>17</v>
      </c>
      <c r="S17" s="91">
        <v>85</v>
      </c>
    </row>
    <row r="18" spans="1:19" ht="41.25" customHeight="1" thickTop="1" thickBot="1">
      <c r="A18" s="113" t="str">
        <f>'CO2 Production Data &amp; Results '!A18</f>
        <v>Electricity Inputs for CO2 Production
(Select from Drop-Down)</v>
      </c>
      <c r="B18" s="113"/>
      <c r="C18" s="113"/>
      <c r="D18" s="115" t="s">
        <v>266</v>
      </c>
      <c r="E18" s="117" t="str">
        <f>'CO2 Production Data &amp; Results '!E18</f>
        <v>Electricity Inputs for CO2 Purification and Compression (Select from Drop-Down)</v>
      </c>
      <c r="F18" s="117"/>
      <c r="G18" s="117"/>
      <c r="H18" s="247"/>
      <c r="I18" s="109"/>
      <c r="O18" s="90" t="s">
        <v>267</v>
      </c>
      <c r="P18" s="91"/>
      <c r="Q18" s="91">
        <v>25.15</v>
      </c>
      <c r="R18" s="91">
        <v>12</v>
      </c>
      <c r="S18" s="91">
        <v>60</v>
      </c>
    </row>
    <row r="19" spans="1:19" ht="15.75" thickTop="1">
      <c r="A19" s="129">
        <f>'CO2 Production Data &amp; Results '!A19</f>
        <v>0</v>
      </c>
      <c r="B19" s="129">
        <f>'CO2 Production Data &amp; Results '!B19</f>
        <v>0</v>
      </c>
      <c r="C19" s="129" t="str">
        <f>'CO2 Production Data &amp; Results '!C19</f>
        <v>unit</v>
      </c>
      <c r="D19" s="96"/>
      <c r="E19" s="126">
        <f>'CO2 Production Data &amp; Results '!E19</f>
        <v>0</v>
      </c>
      <c r="F19" s="126">
        <f>'CO2 Production Data &amp; Results '!F19</f>
        <v>0</v>
      </c>
      <c r="G19" s="126" t="str">
        <f>'CO2 Production Data &amp; Results '!G19</f>
        <v>unit</v>
      </c>
      <c r="I19" s="131">
        <f>IF(A19=0,0,(VLOOKUP(A19,'45Q Library'!$A$36:$R$54,9)*B19)+(VLOOKUP(A19,'45Q Library'!$A$36:$S$54,19)*B19))</f>
        <v>0</v>
      </c>
      <c r="K19" s="128">
        <f xml:space="preserve"> IF(E19=0,0,+VLOOKUP(E19,'45Q Library'!$A$36:$R$54,9)*F19)</f>
        <v>0</v>
      </c>
      <c r="O19" s="90" t="s">
        <v>268</v>
      </c>
      <c r="P19" s="91"/>
      <c r="Q19" s="91">
        <v>25.15</v>
      </c>
      <c r="R19" s="91">
        <v>12</v>
      </c>
      <c r="S19" s="91">
        <v>60</v>
      </c>
    </row>
    <row r="20" spans="1:19" ht="15.75" thickBot="1">
      <c r="A20" s="130">
        <f>'CO2 Production Data &amp; Results '!A20</f>
        <v>0</v>
      </c>
      <c r="B20" s="130">
        <f>'CO2 Production Data &amp; Results '!B20</f>
        <v>0</v>
      </c>
      <c r="C20" s="130" t="str">
        <f>'CO2 Production Data &amp; Results '!C20</f>
        <v>unit</v>
      </c>
      <c r="D20" s="96"/>
      <c r="E20" s="127">
        <f>'CO2 Production Data &amp; Results '!E20</f>
        <v>0</v>
      </c>
      <c r="F20" s="127">
        <f>'CO2 Production Data &amp; Results '!F20</f>
        <v>0</v>
      </c>
      <c r="G20" s="127" t="str">
        <f>'CO2 Production Data &amp; Results '!G20</f>
        <v>unit</v>
      </c>
      <c r="I20" s="131">
        <f>IF(A20=0,0,(VLOOKUP(A20,'45Q Library'!$A$36:$R$54,9)*B20)+(VLOOKUP(A20,'45Q Library'!$A$36:$S$54,19)*B20))</f>
        <v>0</v>
      </c>
      <c r="K20" s="128">
        <f xml:space="preserve"> IF(E20=0,0,+VLOOKUP(E20,'45Q Library'!$A$36:$R$54,9)*F20)</f>
        <v>0</v>
      </c>
      <c r="O20" s="104"/>
      <c r="P20" s="105"/>
      <c r="Q20" s="105"/>
      <c r="R20" s="105"/>
      <c r="S20" s="105"/>
    </row>
    <row r="21" spans="1:19" ht="16.5" thickTop="1" thickBot="1">
      <c r="A21" s="130">
        <f>'CO2 Production Data &amp; Results '!A21</f>
        <v>0</v>
      </c>
      <c r="B21" s="130">
        <f>'CO2 Production Data &amp; Results '!B21</f>
        <v>0</v>
      </c>
      <c r="C21" s="130" t="str">
        <f>'CO2 Production Data &amp; Results '!C21</f>
        <v>unit</v>
      </c>
      <c r="D21" s="96"/>
      <c r="E21" s="127">
        <f>'CO2 Production Data &amp; Results '!E21</f>
        <v>0</v>
      </c>
      <c r="F21" s="127">
        <f>'CO2 Production Data &amp; Results '!F21</f>
        <v>0</v>
      </c>
      <c r="G21" s="127" t="str">
        <f>'CO2 Production Data &amp; Results '!G21</f>
        <v>unit</v>
      </c>
      <c r="I21" s="131">
        <f>IF(A21=0,0,(VLOOKUP(A21,'45Q Library'!$A$36:$R$54,9)*B21)+(VLOOKUP(A21,'45Q Library'!$A$36:$S$54,19)*B21))</f>
        <v>0</v>
      </c>
      <c r="K21" s="128">
        <f xml:space="preserve"> IF(E21=0,0,+VLOOKUP(E21,'45Q Library'!$A$36:$R$54,9)*F21)</f>
        <v>0</v>
      </c>
      <c r="O21" s="100" t="s">
        <v>269</v>
      </c>
      <c r="P21" s="107"/>
      <c r="Q21" s="107"/>
      <c r="R21" s="107"/>
      <c r="S21" s="107"/>
    </row>
    <row r="22" spans="1:19" ht="16.5" thickTop="1" thickBot="1">
      <c r="I22" s="109"/>
      <c r="K22" s="109"/>
      <c r="O22" s="99" t="s">
        <v>270</v>
      </c>
      <c r="P22" s="106"/>
      <c r="Q22" s="106"/>
      <c r="R22" s="106">
        <v>36</v>
      </c>
      <c r="S22" s="106">
        <v>180</v>
      </c>
    </row>
    <row r="23" spans="1:19" ht="16.5" thickTop="1" thickBot="1">
      <c r="A23" s="113" t="str">
        <f>'CO2 Production Data &amp; Results '!A23</f>
        <v>Other Energy Inputs
(Select from Drop-Down)</v>
      </c>
      <c r="B23" s="113"/>
      <c r="C23" s="113"/>
      <c r="I23" s="109"/>
      <c r="O23" s="90" t="s">
        <v>271</v>
      </c>
      <c r="P23" s="91"/>
      <c r="Q23" s="91"/>
      <c r="R23" s="91">
        <v>26</v>
      </c>
      <c r="S23" s="91">
        <v>130</v>
      </c>
    </row>
    <row r="24" spans="1:19" ht="15.75" thickTop="1">
      <c r="A24" s="129">
        <f>'CO2 Production Data &amp; Results '!A24</f>
        <v>0</v>
      </c>
      <c r="B24" s="129">
        <f>'CO2 Production Data &amp; Results '!B24</f>
        <v>0</v>
      </c>
      <c r="C24" s="129" t="str">
        <f>'CO2 Production Data &amp; Results '!C24</f>
        <v>unit</v>
      </c>
      <c r="I24" s="131">
        <f>IF(A24=0,0,(VLOOKUP(A24,'45Q Library'!$A$59:$R$61,9)*B24)+(VLOOKUP(A24,'45Q Library'!$A$59:$S$61,19)*B24))</f>
        <v>0</v>
      </c>
      <c r="O24" s="90" t="s">
        <v>272</v>
      </c>
      <c r="P24" s="91"/>
      <c r="Q24" s="91"/>
      <c r="R24" s="91">
        <v>26</v>
      </c>
      <c r="S24" s="91">
        <v>130</v>
      </c>
    </row>
    <row r="25" spans="1:19">
      <c r="A25" s="130">
        <f>'CO2 Production Data &amp; Results '!A25</f>
        <v>0</v>
      </c>
      <c r="B25" s="130">
        <f>'CO2 Production Data &amp; Results '!B25</f>
        <v>0</v>
      </c>
      <c r="C25" s="130" t="str">
        <f>'CO2 Production Data &amp; Results '!C25</f>
        <v>unit</v>
      </c>
      <c r="I25" s="131">
        <f>IF(A25=0,0,(VLOOKUP(A25,'45Q Library'!$A$59:$R$61,9)*B25)+(VLOOKUP(A25,'45Q Library'!$A$59:$S$61,19)*B25))</f>
        <v>0</v>
      </c>
    </row>
    <row r="26" spans="1:19">
      <c r="A26" s="130">
        <f>'CO2 Production Data &amp; Results '!A26</f>
        <v>0</v>
      </c>
      <c r="B26" s="130">
        <f>'CO2 Production Data &amp; Results '!B26</f>
        <v>0</v>
      </c>
      <c r="C26" s="130" t="str">
        <f>'CO2 Production Data &amp; Results '!C26</f>
        <v>unit</v>
      </c>
      <c r="I26" s="131">
        <f>IF(A26=0,0,(VLOOKUP(A26,'45Q Library'!$A$59:$R$61,9)*B26)+(VLOOKUP(A26,'45Q Library'!$A$59:$S$61,19)*B26))</f>
        <v>0</v>
      </c>
    </row>
    <row r="27" spans="1:19" ht="15.75" thickBot="1">
      <c r="I27" s="109"/>
    </row>
    <row r="28" spans="1:19" ht="16.5" thickTop="1" thickBot="1">
      <c r="A28" s="113" t="str">
        <f>'CO2 Production Data &amp; Results '!A28</f>
        <v>Raw Material Transport
(Select from Drop-Down)</v>
      </c>
      <c r="B28" s="113"/>
      <c r="C28" s="113"/>
      <c r="I28" s="109"/>
    </row>
    <row r="29" spans="1:19" ht="15.75" thickTop="1">
      <c r="A29" s="129">
        <f>'CO2 Production Data &amp; Results '!A29</f>
        <v>0</v>
      </c>
      <c r="B29" s="129">
        <f>'CO2 Production Data &amp; Results '!B29</f>
        <v>0</v>
      </c>
      <c r="C29" s="129" t="str">
        <f>'CO2 Production Data &amp; Results '!C29</f>
        <v>unit</v>
      </c>
      <c r="I29" s="131">
        <f>IF(A29=0,0,VLOOKUP(A29,'45Q Library'!$A$66:$R$69,9)*B29*SUM($B$11:$B$16)/1000)</f>
        <v>0</v>
      </c>
    </row>
    <row r="30" spans="1:19">
      <c r="A30" s="130">
        <f>'CO2 Production Data &amp; Results '!A30</f>
        <v>0</v>
      </c>
      <c r="B30" s="130">
        <f>'CO2 Production Data &amp; Results '!B30</f>
        <v>0</v>
      </c>
      <c r="C30" s="130" t="str">
        <f>'CO2 Production Data &amp; Results '!C30</f>
        <v>unit</v>
      </c>
      <c r="I30" s="131">
        <f>IF(A30=0,0,VLOOKUP(A30,'45Q Library'!$A$66:$R$69,9)*B30*SUM($B$11:$B$16)/1000)</f>
        <v>0</v>
      </c>
    </row>
    <row r="31" spans="1:19">
      <c r="A31" s="130">
        <f>'CO2 Production Data &amp; Results '!A31</f>
        <v>0</v>
      </c>
      <c r="B31" s="130">
        <f>'CO2 Production Data &amp; Results '!B31</f>
        <v>0</v>
      </c>
      <c r="C31" s="130" t="str">
        <f>'CO2 Production Data &amp; Results '!C31</f>
        <v>unit</v>
      </c>
      <c r="I31" s="131">
        <f>IF(A31=0,0,VLOOKUP(A31,'45Q Library'!$A$66:$R$69,9)*B31*SUM($B$11:$B$16)/1000)</f>
        <v>0</v>
      </c>
    </row>
    <row r="32" spans="1:19">
      <c r="A32" s="130">
        <f>'CO2 Production Data &amp; Results '!A32</f>
        <v>0</v>
      </c>
      <c r="B32" s="130">
        <f>'CO2 Production Data &amp; Results '!B32</f>
        <v>0</v>
      </c>
      <c r="C32" s="130" t="str">
        <f>'CO2 Production Data &amp; Results '!C32</f>
        <v>unit</v>
      </c>
      <c r="I32" s="131">
        <f>IF(A32=0,0,VLOOKUP(A32,'45Q Library'!$A$66:$R$69,9)*B32*SUM($B$11:$B$16)/1000)</f>
        <v>0</v>
      </c>
    </row>
    <row r="33" spans="1:19" ht="15.75" thickBot="1">
      <c r="I33" s="109"/>
    </row>
    <row r="34" spans="1:19" ht="16.5" thickTop="1" thickBot="1">
      <c r="A34" s="113" t="str">
        <f>'CO2 Production Data &amp; Results '!A34</f>
        <v>Wastes and Emissions from CO2 Production (Select from Drop-Down)</v>
      </c>
      <c r="B34" s="113"/>
      <c r="C34" s="113"/>
      <c r="E34" s="117" t="str">
        <f>'CO2 Production Data &amp; Results '!E34</f>
        <v>Waste &amp; Emissions from CO2 Purification &amp; Compression (Select from Drop-Down)</v>
      </c>
      <c r="F34" s="117"/>
      <c r="G34" s="117"/>
      <c r="I34" s="109"/>
      <c r="K34" s="109"/>
    </row>
    <row r="35" spans="1:19" ht="15.75" thickTop="1">
      <c r="A35" s="129">
        <f>'CO2 Production Data &amp; Results '!A35</f>
        <v>0</v>
      </c>
      <c r="B35" s="129">
        <f>'CO2 Production Data &amp; Results '!B35</f>
        <v>0</v>
      </c>
      <c r="C35" s="129" t="str">
        <f>'CO2 Production Data &amp; Results '!C35</f>
        <v>unit</v>
      </c>
      <c r="D35" s="96"/>
      <c r="E35" s="126">
        <f>'CO2 Production Data &amp; Results '!E35</f>
        <v>0</v>
      </c>
      <c r="F35" s="126">
        <f>'CO2 Production Data &amp; Results '!F35</f>
        <v>0</v>
      </c>
      <c r="G35" s="126" t="str">
        <f>'CO2 Production Data &amp; Results '!G35</f>
        <v>unit</v>
      </c>
      <c r="I35" s="131">
        <f>IF(A35=0,0,(VLOOKUP(A35,'45Q Library'!$A$74:$S$81,9)*B35)+(VLOOKUP(A35,'45Q Library'!$A$74:$S$81,19))*B35)</f>
        <v>0</v>
      </c>
      <c r="K35" s="128">
        <f>IF(E35=0,0,(VLOOKUP(E35,'45Q Library'!$A$74:$R$81,9)*F35))</f>
        <v>0</v>
      </c>
    </row>
    <row r="36" spans="1:19">
      <c r="A36" s="130">
        <f>'CO2 Production Data &amp; Results '!A36</f>
        <v>0</v>
      </c>
      <c r="B36" s="130">
        <f>'CO2 Production Data &amp; Results '!B36</f>
        <v>0</v>
      </c>
      <c r="C36" s="130" t="str">
        <f>'CO2 Production Data &amp; Results '!C36</f>
        <v>unit</v>
      </c>
      <c r="D36" s="96"/>
      <c r="E36" s="127">
        <f>'CO2 Production Data &amp; Results '!E36</f>
        <v>0</v>
      </c>
      <c r="F36" s="127">
        <f>'CO2 Production Data &amp; Results '!F36</f>
        <v>0</v>
      </c>
      <c r="G36" s="127" t="str">
        <f>'CO2 Production Data &amp; Results '!G36</f>
        <v>unit</v>
      </c>
      <c r="I36" s="131">
        <f>IF(A36=0,0,(VLOOKUP(A36,'45Q Library'!$A$74:$S$81,9)*B36)+(VLOOKUP(A36,'45Q Library'!$A$74:$S$81,19))*B36)</f>
        <v>0</v>
      </c>
      <c r="K36" s="128">
        <f>IF(E36=0,0,(VLOOKUP(E36,'45Q Library'!$A$74:$R$81,9)*F36))</f>
        <v>0</v>
      </c>
    </row>
    <row r="37" spans="1:19">
      <c r="A37" s="130">
        <f>'CO2 Production Data &amp; Results '!A37</f>
        <v>0</v>
      </c>
      <c r="B37" s="130">
        <f>'CO2 Production Data &amp; Results '!B37</f>
        <v>0</v>
      </c>
      <c r="C37" s="130" t="str">
        <f>'CO2 Production Data &amp; Results '!C37</f>
        <v>unit</v>
      </c>
      <c r="D37" s="96"/>
      <c r="E37" s="127">
        <f>'CO2 Production Data &amp; Results '!E37</f>
        <v>0</v>
      </c>
      <c r="F37" s="127">
        <f>'CO2 Production Data &amp; Results '!F37</f>
        <v>0</v>
      </c>
      <c r="G37" s="127" t="str">
        <f>'CO2 Production Data &amp; Results '!G37</f>
        <v>unit</v>
      </c>
      <c r="I37" s="131">
        <f>IF(A37=0,0,(VLOOKUP(A37,'45Q Library'!$A$74:$S$81,9)*B37)+(VLOOKUP(A37,'45Q Library'!$A$74:$S$81,19))*B37)</f>
        <v>0</v>
      </c>
      <c r="K37" s="128">
        <f>IF(E37=0,0,(VLOOKUP(E37,'45Q Library'!$A$74:$R$81,9)*F37))</f>
        <v>0</v>
      </c>
    </row>
    <row r="38" spans="1:19">
      <c r="A38" s="130">
        <f>'CO2 Production Data &amp; Results '!A38</f>
        <v>0</v>
      </c>
      <c r="B38" s="130">
        <f>'CO2 Production Data &amp; Results '!B38</f>
        <v>0</v>
      </c>
      <c r="C38" s="130" t="str">
        <f>'CO2 Production Data &amp; Results '!C38</f>
        <v>unit</v>
      </c>
      <c r="D38" s="96"/>
      <c r="E38" s="127">
        <f>'CO2 Production Data &amp; Results '!E38</f>
        <v>0</v>
      </c>
      <c r="F38" s="127">
        <f>'CO2 Production Data &amp; Results '!F38</f>
        <v>0</v>
      </c>
      <c r="G38" s="127" t="str">
        <f>'CO2 Production Data &amp; Results '!G38</f>
        <v>unit</v>
      </c>
      <c r="I38" s="131">
        <f>IF(A38=0,0,(VLOOKUP(A38,'45Q Library'!$A$74:$S$81,9)*B38)+(VLOOKUP(A38,'45Q Library'!$A$74:$S$81,19))*B38)</f>
        <v>0</v>
      </c>
      <c r="K38" s="128">
        <f>IF(E38=0,0,(VLOOKUP(E38,'45Q Library'!$A$74:$R$81,9)*F38))</f>
        <v>0</v>
      </c>
    </row>
    <row r="39" spans="1:19">
      <c r="A39" s="130">
        <f>'CO2 Production Data &amp; Results '!A39</f>
        <v>0</v>
      </c>
      <c r="B39" s="130">
        <f>'CO2 Production Data &amp; Results '!B39</f>
        <v>0</v>
      </c>
      <c r="C39" s="130" t="str">
        <f>'CO2 Production Data &amp; Results '!C39</f>
        <v>unit</v>
      </c>
      <c r="D39" s="96"/>
      <c r="E39" s="127">
        <f>'CO2 Production Data &amp; Results '!E39</f>
        <v>0</v>
      </c>
      <c r="F39" s="127">
        <f>'CO2 Production Data &amp; Results '!F39</f>
        <v>0</v>
      </c>
      <c r="G39" s="127" t="str">
        <f>'CO2 Production Data &amp; Results '!G39</f>
        <v>unit</v>
      </c>
      <c r="I39" s="131">
        <f>IF(A39=0,0,(VLOOKUP(A39,'45Q Library'!$A$74:$S$81,9)*B39)+(VLOOKUP(A39,'45Q Library'!$A$74:$S$81,19))*B39)</f>
        <v>0</v>
      </c>
      <c r="K39" s="128">
        <f>IF(E39=0,0,(VLOOKUP(E39,'45Q Library'!$A$74:$R$81,9)*F39))</f>
        <v>0</v>
      </c>
    </row>
    <row r="40" spans="1:19" ht="15.75" thickBot="1">
      <c r="I40" s="109"/>
      <c r="K40" s="109"/>
    </row>
    <row r="41" spans="1:19" ht="16.5" thickTop="1" thickBot="1">
      <c r="H41" s="100" t="s">
        <v>264</v>
      </c>
      <c r="I41" s="114" t="e">
        <f>SUM(I19:I40)*I4</f>
        <v>#DIV/0!</v>
      </c>
      <c r="J41" s="100"/>
      <c r="K41" s="118">
        <f>SUM(K19:K40)</f>
        <v>0</v>
      </c>
      <c r="L41" s="102"/>
      <c r="M41" s="158" t="e">
        <f>SUM(I41:K41)</f>
        <v>#DIV/0!</v>
      </c>
    </row>
    <row r="42" spans="1:19" ht="15.75" thickTop="1"/>
    <row r="44" spans="1:19">
      <c r="A44" s="119"/>
      <c r="B44" s="119"/>
      <c r="C44" s="119"/>
      <c r="R44" s="134"/>
    </row>
    <row r="45" spans="1:19">
      <c r="A45" s="87" t="s">
        <v>273</v>
      </c>
      <c r="B45" s="88"/>
      <c r="C45" s="89" t="s">
        <v>274</v>
      </c>
      <c r="R45" s="134"/>
      <c r="S45" s="134"/>
    </row>
  </sheetData>
  <pageMargins left="0.7" right="0.7" top="0.75" bottom="0.75" header="0.3" footer="0.3"/>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1601-9493-4D2E-86F3-FCE84E10325E}">
  <sheetPr codeName="Sheet5">
    <tabColor theme="0" tint="-0.499984740745262"/>
  </sheetPr>
  <dimension ref="A1:AH125"/>
  <sheetViews>
    <sheetView zoomScale="93" zoomScaleNormal="93" workbookViewId="0">
      <selection activeCell="O1" sqref="O1"/>
    </sheetView>
  </sheetViews>
  <sheetFormatPr defaultColWidth="11.85546875" defaultRowHeight="15"/>
  <cols>
    <col min="1" max="1" width="16.85546875" style="1" bestFit="1" customWidth="1"/>
    <col min="2" max="2" width="13.85546875" style="1" bestFit="1" customWidth="1"/>
    <col min="3" max="3" width="13.28515625" style="1" bestFit="1" customWidth="1"/>
    <col min="4" max="4" width="13.42578125" style="1" bestFit="1" customWidth="1"/>
    <col min="5" max="5" width="13.28515625" style="1" customWidth="1"/>
    <col min="6" max="6" width="15.85546875" style="1" customWidth="1"/>
    <col min="7" max="7" width="13.28515625" style="1" bestFit="1" customWidth="1"/>
    <col min="8" max="8" width="13.85546875" style="1" bestFit="1" customWidth="1"/>
    <col min="9" max="9" width="13.28515625" style="1" bestFit="1" customWidth="1"/>
    <col min="10" max="12" width="13.28515625" style="1" customWidth="1"/>
    <col min="13" max="13" width="11.85546875" style="1"/>
    <col min="14" max="14" width="17.140625" style="1" customWidth="1"/>
    <col min="15" max="18" width="11.85546875" style="1"/>
    <col min="19" max="19" width="19.42578125" style="1" customWidth="1"/>
    <col min="20" max="21" width="11.85546875" style="1"/>
    <col min="22" max="22" width="13.85546875" style="1" bestFit="1" customWidth="1"/>
    <col min="23" max="27" width="11.85546875" style="1"/>
    <col min="28" max="28" width="12.7109375" style="1" bestFit="1" customWidth="1"/>
    <col min="29" max="16384" width="11.85546875" style="1"/>
  </cols>
  <sheetData>
    <row r="1" spans="1:34">
      <c r="A1" s="239" t="s">
        <v>275</v>
      </c>
      <c r="B1" s="240"/>
      <c r="C1" s="240"/>
      <c r="D1" s="240"/>
      <c r="E1" s="240"/>
      <c r="F1" s="240"/>
      <c r="G1" s="240"/>
      <c r="H1" s="240"/>
      <c r="I1" s="240"/>
      <c r="J1" s="240"/>
      <c r="K1" s="240"/>
      <c r="L1" s="160" t="s">
        <v>276</v>
      </c>
      <c r="M1" s="160"/>
      <c r="N1" s="160"/>
      <c r="S1" s="1" t="s">
        <v>277</v>
      </c>
      <c r="U1" s="1" t="s">
        <v>278</v>
      </c>
      <c r="W1" s="1" t="s">
        <v>279</v>
      </c>
      <c r="Y1" s="1" t="s">
        <v>280</v>
      </c>
      <c r="AA1" s="1" t="s">
        <v>281</v>
      </c>
      <c r="AC1" s="1" t="s">
        <v>282</v>
      </c>
      <c r="AE1" s="1" t="s">
        <v>283</v>
      </c>
      <c r="AG1" s="1" t="s">
        <v>284</v>
      </c>
    </row>
    <row r="2" spans="1:34">
      <c r="A2" s="2" t="s">
        <v>285</v>
      </c>
      <c r="B2" s="3" t="s">
        <v>286</v>
      </c>
      <c r="C2" s="3" t="s">
        <v>287</v>
      </c>
      <c r="D2" s="3" t="s">
        <v>288</v>
      </c>
      <c r="E2" s="3" t="s">
        <v>289</v>
      </c>
      <c r="F2" s="3" t="s">
        <v>290</v>
      </c>
      <c r="G2" s="4" t="s">
        <v>291</v>
      </c>
      <c r="H2" s="79" t="s">
        <v>292</v>
      </c>
      <c r="I2" s="75" t="s">
        <v>293</v>
      </c>
      <c r="J2" s="19" t="s">
        <v>294</v>
      </c>
      <c r="N2" s="5" t="s">
        <v>295</v>
      </c>
      <c r="O2" s="6" t="s">
        <v>296</v>
      </c>
      <c r="P2" s="6" t="s">
        <v>297</v>
      </c>
      <c r="Q2" s="7" t="s">
        <v>298</v>
      </c>
      <c r="S2" s="8" t="s">
        <v>299</v>
      </c>
      <c r="T2" s="1">
        <f>22/7</f>
        <v>3.1428571428571428</v>
      </c>
      <c r="U2" s="1" t="s">
        <v>300</v>
      </c>
      <c r="V2" s="9">
        <f>B3</f>
        <v>1</v>
      </c>
      <c r="W2" s="10" t="s">
        <v>301</v>
      </c>
      <c r="X2" s="1">
        <f t="shared" ref="X2:X7" si="0">B14</f>
        <v>1</v>
      </c>
      <c r="Y2" s="1" t="s">
        <v>302</v>
      </c>
      <c r="Z2" s="1">
        <f t="shared" ref="Z2:Z7" si="1">B37</f>
        <v>1</v>
      </c>
      <c r="AA2" s="1" t="s">
        <v>303</v>
      </c>
      <c r="AB2" s="9">
        <f t="shared" ref="AB2:AB9" si="2">B23</f>
        <v>1</v>
      </c>
      <c r="AC2" s="1" t="s">
        <v>304</v>
      </c>
      <c r="AD2" s="1">
        <f t="shared" ref="AD2:AD7" si="3">B46</f>
        <v>1</v>
      </c>
      <c r="AE2" s="1" t="s">
        <v>305</v>
      </c>
      <c r="AF2" s="11">
        <f>B56</f>
        <v>2.47105</v>
      </c>
      <c r="AG2" s="12" t="s">
        <v>306</v>
      </c>
      <c r="AH2" s="1">
        <f>P31</f>
        <v>1</v>
      </c>
    </row>
    <row r="3" spans="1:34">
      <c r="A3" s="25" t="s">
        <v>307</v>
      </c>
      <c r="B3" s="22">
        <v>1</v>
      </c>
      <c r="C3" s="22">
        <v>1000</v>
      </c>
      <c r="D3" s="22">
        <v>1000000</v>
      </c>
      <c r="E3" s="23">
        <v>453.59237000000002</v>
      </c>
      <c r="F3" s="29">
        <f>E3*2000</f>
        <v>907184.74</v>
      </c>
      <c r="G3" s="16"/>
      <c r="I3" s="16"/>
      <c r="J3" s="16"/>
      <c r="N3" s="17" t="s">
        <v>308</v>
      </c>
      <c r="O3" s="18">
        <v>9.9999999999999998E+23</v>
      </c>
      <c r="P3" s="6" t="s">
        <v>309</v>
      </c>
      <c r="Q3" s="19" t="s">
        <v>310</v>
      </c>
      <c r="S3" s="1" t="s">
        <v>311</v>
      </c>
      <c r="T3" s="9">
        <v>6.0221409000000001E+23</v>
      </c>
      <c r="U3" s="1" t="s">
        <v>312</v>
      </c>
      <c r="V3" s="9">
        <f>B4</f>
        <v>1E-3</v>
      </c>
      <c r="W3" s="10" t="s">
        <v>313</v>
      </c>
      <c r="X3" s="1">
        <f t="shared" si="0"/>
        <v>1000000</v>
      </c>
      <c r="Y3" s="1" t="s">
        <v>314</v>
      </c>
      <c r="Z3" s="1">
        <f t="shared" si="1"/>
        <v>1E-3</v>
      </c>
      <c r="AA3" s="1" t="s">
        <v>315</v>
      </c>
      <c r="AB3" s="9">
        <f t="shared" si="2"/>
        <v>1E-3</v>
      </c>
      <c r="AC3" s="1" t="s">
        <v>316</v>
      </c>
      <c r="AD3" s="1">
        <f t="shared" si="3"/>
        <v>100</v>
      </c>
      <c r="AE3" s="1" t="s">
        <v>317</v>
      </c>
      <c r="AF3" s="11">
        <f>C55</f>
        <v>0.40468626697153032</v>
      </c>
      <c r="AG3" s="12" t="s">
        <v>318</v>
      </c>
      <c r="AH3" s="1">
        <f>P32</f>
        <v>85</v>
      </c>
    </row>
    <row r="4" spans="1:34">
      <c r="A4" s="25" t="s">
        <v>61</v>
      </c>
      <c r="B4" s="28">
        <f>B3/C3</f>
        <v>1E-3</v>
      </c>
      <c r="C4" s="22">
        <v>1</v>
      </c>
      <c r="D4" s="22">
        <f>D3/C3</f>
        <v>1000</v>
      </c>
      <c r="E4" s="23">
        <f>E3/C3</f>
        <v>0.45359237000000002</v>
      </c>
      <c r="F4" s="24">
        <f>F3/C3</f>
        <v>907.18474000000003</v>
      </c>
      <c r="G4" s="16"/>
      <c r="I4" s="16"/>
      <c r="J4" s="16"/>
      <c r="N4" s="25" t="s">
        <v>319</v>
      </c>
      <c r="O4" s="26">
        <v>1E+21</v>
      </c>
      <c r="P4" s="8" t="s">
        <v>320</v>
      </c>
      <c r="Q4" s="16" t="s">
        <v>321</v>
      </c>
      <c r="S4" s="1" t="s">
        <v>322</v>
      </c>
      <c r="T4" s="1">
        <v>0.41507388848783389</v>
      </c>
      <c r="U4" s="1" t="s">
        <v>323</v>
      </c>
      <c r="V4" s="9">
        <f>B5</f>
        <v>9.9999999999999995E-7</v>
      </c>
      <c r="W4" s="10" t="s">
        <v>324</v>
      </c>
      <c r="X4" s="1">
        <f t="shared" si="0"/>
        <v>1000</v>
      </c>
      <c r="Y4" s="1" t="s">
        <v>325</v>
      </c>
      <c r="Z4" s="1">
        <f t="shared" si="1"/>
        <v>9.9999999999999995E-7</v>
      </c>
      <c r="AA4" s="1" t="s">
        <v>326</v>
      </c>
      <c r="AB4" s="9">
        <f t="shared" si="2"/>
        <v>9.9999999999999995E-7</v>
      </c>
      <c r="AC4" s="1" t="s">
        <v>327</v>
      </c>
      <c r="AD4" s="1">
        <f t="shared" si="3"/>
        <v>101.325</v>
      </c>
      <c r="AE4" s="1" t="s">
        <v>328</v>
      </c>
      <c r="AF4" s="1">
        <f>D55</f>
        <v>1E-4</v>
      </c>
      <c r="AG4" s="27" t="s">
        <v>329</v>
      </c>
      <c r="AH4" s="1">
        <f>P33</f>
        <v>264</v>
      </c>
    </row>
    <row r="5" spans="1:34" ht="15.75">
      <c r="A5" s="25" t="s">
        <v>330</v>
      </c>
      <c r="B5" s="28">
        <f>B3/D3</f>
        <v>9.9999999999999995E-7</v>
      </c>
      <c r="C5" s="28">
        <f>C3/D3</f>
        <v>1E-3</v>
      </c>
      <c r="D5" s="22">
        <v>1</v>
      </c>
      <c r="E5" s="28">
        <f>E3/D3</f>
        <v>4.5359237000000004E-4</v>
      </c>
      <c r="F5" s="24">
        <f>F3/D3</f>
        <v>0.90718474000000004</v>
      </c>
      <c r="G5" s="16"/>
      <c r="I5" s="135"/>
      <c r="J5" s="135"/>
      <c r="N5" s="25" t="s">
        <v>331</v>
      </c>
      <c r="O5" s="26">
        <v>1E+18</v>
      </c>
      <c r="P5" s="8" t="s">
        <v>332</v>
      </c>
      <c r="Q5" s="16" t="s">
        <v>333</v>
      </c>
      <c r="U5" s="1" t="s">
        <v>334</v>
      </c>
      <c r="V5" s="9">
        <f>B6</f>
        <v>2.2046226218487759E-3</v>
      </c>
      <c r="W5" s="10" t="s">
        <v>335</v>
      </c>
      <c r="X5" s="1">
        <f t="shared" si="0"/>
        <v>264.17210707106841</v>
      </c>
      <c r="Y5" s="1" t="s">
        <v>336</v>
      </c>
      <c r="Z5" s="1">
        <f t="shared" si="1"/>
        <v>3.2808398950131233E-3</v>
      </c>
      <c r="AA5" s="1" t="s">
        <v>337</v>
      </c>
      <c r="AB5" s="9">
        <f t="shared" si="2"/>
        <v>2.7777777777777778E-4</v>
      </c>
      <c r="AC5" s="1" t="s">
        <v>338</v>
      </c>
      <c r="AD5" s="1">
        <f t="shared" si="3"/>
        <v>0.13300000000000001</v>
      </c>
      <c r="AE5" s="1" t="s">
        <v>339</v>
      </c>
      <c r="AF5" s="82">
        <f>B57</f>
        <v>10000</v>
      </c>
      <c r="AG5" s="12" t="s">
        <v>340</v>
      </c>
      <c r="AH5" s="1">
        <f>O31</f>
        <v>1</v>
      </c>
    </row>
    <row r="6" spans="1:34" ht="15.75">
      <c r="A6" s="25" t="s">
        <v>341</v>
      </c>
      <c r="B6" s="28">
        <f>B3/E3</f>
        <v>2.2046226218487759E-3</v>
      </c>
      <c r="C6" s="23">
        <f>C3/E3</f>
        <v>2.2046226218487757</v>
      </c>
      <c r="D6" s="22">
        <f>D3/E3</f>
        <v>2204.6226218487759</v>
      </c>
      <c r="E6" s="22">
        <v>1</v>
      </c>
      <c r="F6" s="29">
        <f>F3/E3</f>
        <v>2000</v>
      </c>
      <c r="G6" s="16">
        <v>56</v>
      </c>
      <c r="H6" s="1">
        <v>56</v>
      </c>
      <c r="I6" s="135">
        <v>60</v>
      </c>
      <c r="J6" s="135">
        <v>100</v>
      </c>
      <c r="N6" s="25" t="s">
        <v>342</v>
      </c>
      <c r="O6" s="26">
        <v>1000000000000000</v>
      </c>
      <c r="P6" s="8" t="s">
        <v>343</v>
      </c>
      <c r="Q6" s="16" t="s">
        <v>344</v>
      </c>
      <c r="S6" s="136" t="s">
        <v>345</v>
      </c>
      <c r="T6" s="137">
        <v>1.5711338145316169</v>
      </c>
      <c r="U6" s="1" t="s">
        <v>346</v>
      </c>
      <c r="V6" s="9">
        <f>B7</f>
        <v>1.102311310924388E-6</v>
      </c>
      <c r="W6" s="10" t="s">
        <v>347</v>
      </c>
      <c r="X6" s="1">
        <f t="shared" si="0"/>
        <v>35.314666212661322</v>
      </c>
      <c r="Y6" s="1" t="s">
        <v>348</v>
      </c>
      <c r="Z6" s="1">
        <f t="shared" si="1"/>
        <v>6.2137273664980671E-7</v>
      </c>
      <c r="AA6" s="1" t="s">
        <v>349</v>
      </c>
      <c r="AB6" s="9">
        <f t="shared" si="2"/>
        <v>2.7777777777777776E-7</v>
      </c>
      <c r="AC6" s="1" t="s">
        <v>350</v>
      </c>
      <c r="AD6" s="1">
        <f t="shared" si="3"/>
        <v>6.8949999999999996</v>
      </c>
      <c r="AE6" s="1" t="s">
        <v>351</v>
      </c>
      <c r="AF6" s="1">
        <f>D56</f>
        <v>2.4710500000000001E-4</v>
      </c>
      <c r="AG6" s="12" t="s">
        <v>352</v>
      </c>
      <c r="AH6" s="1">
        <f>O32</f>
        <v>30</v>
      </c>
    </row>
    <row r="7" spans="1:34" ht="15.75">
      <c r="A7" s="44" t="s">
        <v>353</v>
      </c>
      <c r="B7" s="31">
        <f>B3/F3</f>
        <v>1.102311310924388E-6</v>
      </c>
      <c r="C7" s="31">
        <f>C3/F3</f>
        <v>1.1023113109243879E-3</v>
      </c>
      <c r="D7" s="32">
        <f>D3/F3</f>
        <v>1.1023113109243878</v>
      </c>
      <c r="E7" s="31">
        <f>E3/F3</f>
        <v>5.0000000000000001E-4</v>
      </c>
      <c r="F7" s="33">
        <v>1</v>
      </c>
      <c r="G7" s="16"/>
      <c r="I7" s="16"/>
      <c r="J7" s="16"/>
      <c r="N7" s="25" t="s">
        <v>354</v>
      </c>
      <c r="O7" s="26">
        <v>1000000000000</v>
      </c>
      <c r="P7" s="8" t="s">
        <v>355</v>
      </c>
      <c r="Q7" s="16" t="s">
        <v>356</v>
      </c>
      <c r="S7" s="136" t="s">
        <v>357</v>
      </c>
      <c r="T7" s="137">
        <v>1.2158838270256376</v>
      </c>
      <c r="U7" s="1" t="s">
        <v>358</v>
      </c>
      <c r="V7" s="9">
        <f>C3</f>
        <v>1000</v>
      </c>
      <c r="W7" s="10" t="s">
        <v>359</v>
      </c>
      <c r="X7" s="9">
        <f t="shared" si="0"/>
        <v>6.2872961482914267</v>
      </c>
      <c r="Y7" s="1" t="s">
        <v>360</v>
      </c>
      <c r="Z7" s="1">
        <f t="shared" si="1"/>
        <v>0.1</v>
      </c>
      <c r="AA7" s="1" t="s">
        <v>361</v>
      </c>
      <c r="AB7" s="9">
        <f t="shared" si="2"/>
        <v>9.4781712266701337E-4</v>
      </c>
      <c r="AC7" s="1" t="s">
        <v>362</v>
      </c>
      <c r="AD7" s="1">
        <f t="shared" si="3"/>
        <v>0.13300000000000001</v>
      </c>
      <c r="AE7" s="1" t="s">
        <v>363</v>
      </c>
      <c r="AF7" s="1">
        <f>C57</f>
        <v>4046.8626697153031</v>
      </c>
      <c r="AG7" s="27" t="s">
        <v>364</v>
      </c>
      <c r="AH7" s="1">
        <f>O33</f>
        <v>265</v>
      </c>
    </row>
    <row r="8" spans="1:34">
      <c r="A8" s="44" t="s">
        <v>365</v>
      </c>
      <c r="B8" s="31"/>
      <c r="C8" s="31"/>
      <c r="D8" s="32"/>
      <c r="E8" s="31">
        <f>1/G6</f>
        <v>1.7857142857142856E-2</v>
      </c>
      <c r="F8" s="34"/>
      <c r="G8" s="35"/>
      <c r="I8" s="16"/>
      <c r="J8" s="16"/>
      <c r="N8" s="25" t="s">
        <v>366</v>
      </c>
      <c r="O8" s="26">
        <v>1000000000</v>
      </c>
      <c r="P8" s="8" t="s">
        <v>367</v>
      </c>
      <c r="Q8" s="16" t="s">
        <v>368</v>
      </c>
      <c r="S8" s="1" t="s">
        <v>369</v>
      </c>
      <c r="T8" s="1">
        <v>3.2845352581264677</v>
      </c>
      <c r="U8" s="1" t="s">
        <v>370</v>
      </c>
      <c r="V8" s="9">
        <f>C4</f>
        <v>1</v>
      </c>
      <c r="W8" s="10" t="s">
        <v>371</v>
      </c>
      <c r="X8" s="36">
        <f t="shared" ref="X8:X13" si="4">C14</f>
        <v>9.9999999999999995E-7</v>
      </c>
      <c r="Y8" s="1" t="s">
        <v>372</v>
      </c>
      <c r="Z8" s="1">
        <f t="shared" ref="Z8:Z13" si="5">C37</f>
        <v>1000</v>
      </c>
      <c r="AA8" s="1" t="s">
        <v>373</v>
      </c>
      <c r="AB8" s="9">
        <f t="shared" si="2"/>
        <v>9.4781712266701324E-10</v>
      </c>
      <c r="AC8" s="1" t="s">
        <v>374</v>
      </c>
      <c r="AD8" s="1">
        <f t="shared" ref="AD8:AD13" si="6">C46</f>
        <v>0.01</v>
      </c>
      <c r="AG8" s="12" t="s">
        <v>375</v>
      </c>
      <c r="AH8" s="1">
        <f>P38</f>
        <v>14</v>
      </c>
    </row>
    <row r="9" spans="1:34">
      <c r="A9" s="25" t="s">
        <v>292</v>
      </c>
      <c r="B9" s="28"/>
      <c r="C9" s="28"/>
      <c r="D9" s="23"/>
      <c r="E9" s="28">
        <f>1/H6</f>
        <v>1.7857142857142856E-2</v>
      </c>
      <c r="F9" s="22"/>
      <c r="I9" s="16"/>
      <c r="J9" s="16"/>
      <c r="N9" s="25" t="s">
        <v>376</v>
      </c>
      <c r="O9" s="26">
        <v>1000000</v>
      </c>
      <c r="P9" s="8" t="s">
        <v>377</v>
      </c>
      <c r="Q9" s="16" t="s">
        <v>378</v>
      </c>
      <c r="S9" s="1" t="s">
        <v>379</v>
      </c>
      <c r="T9" s="1">
        <v>4.4268028871897016</v>
      </c>
      <c r="U9" s="1" t="s">
        <v>380</v>
      </c>
      <c r="V9" s="9">
        <f>C5</f>
        <v>1E-3</v>
      </c>
      <c r="W9" s="10" t="s">
        <v>381</v>
      </c>
      <c r="X9" s="36">
        <f t="shared" si="4"/>
        <v>1</v>
      </c>
      <c r="Y9" s="1" t="s">
        <v>382</v>
      </c>
      <c r="Z9" s="1">
        <f t="shared" si="5"/>
        <v>1</v>
      </c>
      <c r="AA9" s="1" t="s">
        <v>383</v>
      </c>
      <c r="AB9" s="9">
        <f t="shared" si="2"/>
        <v>3.72506136E-7</v>
      </c>
      <c r="AC9" s="1" t="s">
        <v>384</v>
      </c>
      <c r="AD9" s="1">
        <f t="shared" si="6"/>
        <v>1</v>
      </c>
      <c r="AG9" s="12" t="s">
        <v>385</v>
      </c>
      <c r="AH9" s="1">
        <f>P39</f>
        <v>7.65</v>
      </c>
    </row>
    <row r="10" spans="1:34">
      <c r="A10" s="44" t="s">
        <v>293</v>
      </c>
      <c r="B10" s="31"/>
      <c r="C10" s="31"/>
      <c r="D10" s="32"/>
      <c r="E10" s="31">
        <f>1/I6</f>
        <v>1.6666666666666666E-2</v>
      </c>
      <c r="F10" s="34"/>
      <c r="G10" s="67"/>
      <c r="H10" s="67"/>
      <c r="I10" s="35"/>
      <c r="J10" s="16"/>
      <c r="N10" s="25" t="s">
        <v>386</v>
      </c>
      <c r="O10" s="26">
        <v>1000</v>
      </c>
      <c r="P10" s="8" t="s">
        <v>387</v>
      </c>
      <c r="Q10" s="16" t="s">
        <v>388</v>
      </c>
      <c r="S10" s="1" t="s">
        <v>389</v>
      </c>
      <c r="T10" s="1">
        <v>0.82244699515927877</v>
      </c>
      <c r="U10" s="1" t="s">
        <v>390</v>
      </c>
      <c r="V10" s="9">
        <f>C6</f>
        <v>2.2046226218487757</v>
      </c>
      <c r="W10" s="10" t="s">
        <v>391</v>
      </c>
      <c r="X10" s="36">
        <f t="shared" si="4"/>
        <v>1E-3</v>
      </c>
      <c r="Y10" s="1" t="s">
        <v>392</v>
      </c>
      <c r="Z10" s="1">
        <f t="shared" si="5"/>
        <v>1E-3</v>
      </c>
      <c r="AA10" s="1" t="s">
        <v>393</v>
      </c>
      <c r="AB10" s="9">
        <f t="shared" ref="AB10:AB17" si="7">C23</f>
        <v>1000</v>
      </c>
      <c r="AC10" s="1" t="s">
        <v>394</v>
      </c>
      <c r="AD10" s="1">
        <f t="shared" si="6"/>
        <v>1.0129999999999999</v>
      </c>
      <c r="AG10" s="12" t="s">
        <v>395</v>
      </c>
      <c r="AH10" s="1">
        <f>P40</f>
        <v>19</v>
      </c>
    </row>
    <row r="11" spans="1:34" ht="15.75">
      <c r="A11" s="30" t="s">
        <v>294</v>
      </c>
      <c r="B11" s="31"/>
      <c r="C11" s="31"/>
      <c r="D11" s="32"/>
      <c r="E11" s="31">
        <f>1/J6</f>
        <v>0.01</v>
      </c>
      <c r="F11" s="34"/>
      <c r="G11" s="67"/>
      <c r="H11" s="67"/>
      <c r="I11" s="67"/>
      <c r="J11" s="35">
        <v>1</v>
      </c>
      <c r="K11" s="1" t="s">
        <v>396</v>
      </c>
      <c r="N11" s="25" t="s">
        <v>397</v>
      </c>
      <c r="O11" s="26">
        <v>100</v>
      </c>
      <c r="P11" s="8" t="s">
        <v>398</v>
      </c>
      <c r="Q11" s="16" t="s">
        <v>399</v>
      </c>
      <c r="S11" s="136" t="s">
        <v>400</v>
      </c>
      <c r="T11" s="1">
        <v>0.63648302312054683</v>
      </c>
      <c r="U11" s="1" t="s">
        <v>401</v>
      </c>
      <c r="V11" s="9">
        <f>C7</f>
        <v>1.1023113109243879E-3</v>
      </c>
      <c r="W11" s="10" t="s">
        <v>402</v>
      </c>
      <c r="X11" s="36">
        <f t="shared" si="4"/>
        <v>2.6417210707106839E-4</v>
      </c>
      <c r="Y11" s="1" t="s">
        <v>403</v>
      </c>
      <c r="Z11" s="1">
        <f t="shared" si="5"/>
        <v>3.2808398950131235</v>
      </c>
      <c r="AA11" s="1" t="s">
        <v>404</v>
      </c>
      <c r="AB11" s="9">
        <f t="shared" si="7"/>
        <v>1</v>
      </c>
      <c r="AC11" s="1" t="s">
        <v>405</v>
      </c>
      <c r="AD11" s="1">
        <f t="shared" si="6"/>
        <v>1.33E-3</v>
      </c>
      <c r="AG11" s="12" t="s">
        <v>406</v>
      </c>
      <c r="AH11" s="1">
        <f>P41</f>
        <v>3200</v>
      </c>
    </row>
    <row r="12" spans="1:34">
      <c r="N12" s="25" t="s">
        <v>407</v>
      </c>
      <c r="O12" s="26">
        <v>10</v>
      </c>
      <c r="P12" s="8" t="s">
        <v>408</v>
      </c>
      <c r="Q12" s="16" t="s">
        <v>409</v>
      </c>
      <c r="S12" s="1" t="s">
        <v>410</v>
      </c>
      <c r="T12" s="1">
        <v>0.30445707578441711</v>
      </c>
      <c r="U12" s="1" t="s">
        <v>411</v>
      </c>
      <c r="V12" s="9">
        <f>D3</f>
        <v>1000000</v>
      </c>
      <c r="W12" s="10" t="s">
        <v>412</v>
      </c>
      <c r="X12" s="36">
        <f t="shared" si="4"/>
        <v>3.5314666212661319E-5</v>
      </c>
      <c r="Y12" s="1" t="s">
        <v>413</v>
      </c>
      <c r="Z12" s="1">
        <f t="shared" si="5"/>
        <v>6.2137273664980672E-4</v>
      </c>
      <c r="AA12" s="1" t="s">
        <v>414</v>
      </c>
      <c r="AB12" s="9">
        <f t="shared" si="7"/>
        <v>1E-3</v>
      </c>
      <c r="AC12" s="1" t="s">
        <v>415</v>
      </c>
      <c r="AD12" s="1">
        <f t="shared" si="6"/>
        <v>6.9000000000000006E-2</v>
      </c>
      <c r="AG12" s="27" t="s">
        <v>416</v>
      </c>
      <c r="AH12" s="1">
        <f>P42</f>
        <v>-240</v>
      </c>
    </row>
    <row r="13" spans="1:34">
      <c r="A13" s="2" t="s">
        <v>417</v>
      </c>
      <c r="B13" s="3" t="s">
        <v>418</v>
      </c>
      <c r="C13" s="3" t="s">
        <v>419</v>
      </c>
      <c r="D13" s="3" t="s">
        <v>420</v>
      </c>
      <c r="E13" s="3" t="s">
        <v>421</v>
      </c>
      <c r="F13" s="3" t="s">
        <v>422</v>
      </c>
      <c r="G13" s="3" t="s">
        <v>423</v>
      </c>
      <c r="H13" s="75" t="s">
        <v>424</v>
      </c>
      <c r="N13" s="25"/>
      <c r="O13" s="26">
        <v>1</v>
      </c>
      <c r="P13" s="8"/>
      <c r="Q13" s="16" t="s">
        <v>425</v>
      </c>
      <c r="S13" s="1" t="s">
        <v>426</v>
      </c>
      <c r="T13" s="1">
        <v>0.22589666300566569</v>
      </c>
      <c r="U13" s="1" t="s">
        <v>427</v>
      </c>
      <c r="V13" s="9">
        <f>D4</f>
        <v>1000</v>
      </c>
      <c r="W13" s="10" t="s">
        <v>428</v>
      </c>
      <c r="X13" s="9">
        <f t="shared" si="4"/>
        <v>6.2872961482914275E-6</v>
      </c>
      <c r="Y13" s="1" t="s">
        <v>429</v>
      </c>
      <c r="Z13" s="1">
        <f t="shared" si="5"/>
        <v>100</v>
      </c>
      <c r="AA13" s="1" t="s">
        <v>430</v>
      </c>
      <c r="AB13" s="9">
        <f t="shared" si="7"/>
        <v>0.27777777777777779</v>
      </c>
      <c r="AC13" s="1" t="s">
        <v>431</v>
      </c>
      <c r="AD13" s="1">
        <f t="shared" si="6"/>
        <v>1.2999999999999999E-3</v>
      </c>
      <c r="AG13" s="12" t="s">
        <v>432</v>
      </c>
      <c r="AH13" s="1">
        <f>O38</f>
        <v>4.5</v>
      </c>
    </row>
    <row r="14" spans="1:34">
      <c r="A14" s="25" t="s">
        <v>433</v>
      </c>
      <c r="B14" s="13">
        <v>1</v>
      </c>
      <c r="C14" s="37">
        <v>9.9999999999999995E-7</v>
      </c>
      <c r="D14" s="38">
        <v>1E-3</v>
      </c>
      <c r="E14" s="39">
        <v>3.7854109999999998E-3</v>
      </c>
      <c r="F14" s="39">
        <v>2.8316846999999999E-2</v>
      </c>
      <c r="G14" s="40">
        <v>0.15905088235294118</v>
      </c>
      <c r="H14" s="16">
        <v>1233.48</v>
      </c>
      <c r="N14" s="25" t="s">
        <v>434</v>
      </c>
      <c r="O14" s="26">
        <v>0.1</v>
      </c>
      <c r="P14" s="8" t="s">
        <v>435</v>
      </c>
      <c r="Q14" s="16" t="s">
        <v>436</v>
      </c>
      <c r="U14" s="1" t="s">
        <v>437</v>
      </c>
      <c r="V14" s="9">
        <f>D5</f>
        <v>1</v>
      </c>
      <c r="W14" s="10" t="s">
        <v>438</v>
      </c>
      <c r="X14" s="43">
        <f t="shared" ref="X14:X19" si="8">D14</f>
        <v>1E-3</v>
      </c>
      <c r="Y14" s="1" t="s">
        <v>439</v>
      </c>
      <c r="Z14" s="1">
        <f t="shared" ref="Z14:Z19" si="9">D37</f>
        <v>1000000</v>
      </c>
      <c r="AA14" s="1" t="s">
        <v>440</v>
      </c>
      <c r="AB14" s="9">
        <f t="shared" si="7"/>
        <v>2.7777777777777778E-4</v>
      </c>
      <c r="AC14" s="1" t="s">
        <v>441</v>
      </c>
      <c r="AD14" s="1">
        <f t="shared" ref="AD14:AD19" si="10">D46</f>
        <v>9.8700000000000003E-3</v>
      </c>
      <c r="AG14" s="12" t="s">
        <v>442</v>
      </c>
      <c r="AH14" s="1">
        <f>O39</f>
        <v>2.65</v>
      </c>
    </row>
    <row r="15" spans="1:34">
      <c r="A15" s="25" t="s">
        <v>443</v>
      </c>
      <c r="B15" s="41">
        <f>B14/C14</f>
        <v>1000000</v>
      </c>
      <c r="C15" s="22">
        <v>1</v>
      </c>
      <c r="D15" s="22">
        <f>D14/C14</f>
        <v>1000.0000000000001</v>
      </c>
      <c r="E15" s="22">
        <f>E14/C14</f>
        <v>3785.4110000000001</v>
      </c>
      <c r="F15" s="22">
        <f>F14/C14</f>
        <v>28316.847000000002</v>
      </c>
      <c r="G15" s="29">
        <v>159050.88235294117</v>
      </c>
      <c r="H15" s="16"/>
      <c r="N15" s="25" t="s">
        <v>444</v>
      </c>
      <c r="O15" s="26">
        <v>0.01</v>
      </c>
      <c r="P15" s="8" t="s">
        <v>445</v>
      </c>
      <c r="Q15" s="16" t="s">
        <v>446</v>
      </c>
      <c r="S15" s="1" t="str">
        <f t="shared" ref="S15:T15" si="11">A88</f>
        <v>Pppm2LBperAcre</v>
      </c>
      <c r="T15" s="1">
        <f t="shared" si="11"/>
        <v>2</v>
      </c>
      <c r="U15" s="1" t="s">
        <v>447</v>
      </c>
      <c r="V15" s="9">
        <f>D6</f>
        <v>2204.6226218487759</v>
      </c>
      <c r="W15" s="10" t="s">
        <v>448</v>
      </c>
      <c r="X15" s="43">
        <f t="shared" si="8"/>
        <v>1000.0000000000001</v>
      </c>
      <c r="Y15" s="1" t="s">
        <v>449</v>
      </c>
      <c r="Z15" s="1">
        <f t="shared" si="9"/>
        <v>1000</v>
      </c>
      <c r="AA15" s="1" t="s">
        <v>450</v>
      </c>
      <c r="AB15" s="9">
        <f t="shared" si="7"/>
        <v>0.94781712266701335</v>
      </c>
      <c r="AC15" s="1" t="s">
        <v>451</v>
      </c>
      <c r="AD15" s="1">
        <f t="shared" si="10"/>
        <v>0.98699999999999999</v>
      </c>
      <c r="AG15" s="12" t="s">
        <v>452</v>
      </c>
      <c r="AH15" s="1">
        <f>O40</f>
        <v>-11</v>
      </c>
    </row>
    <row r="16" spans="1:34">
      <c r="A16" s="25" t="s">
        <v>453</v>
      </c>
      <c r="B16" s="41">
        <f>B14/D14</f>
        <v>1000</v>
      </c>
      <c r="C16" s="23">
        <f>C14/D14</f>
        <v>1E-3</v>
      </c>
      <c r="D16" s="22">
        <v>1</v>
      </c>
      <c r="E16" s="23">
        <f>E14/D14</f>
        <v>3.7854109999999999</v>
      </c>
      <c r="F16" s="23">
        <f>F14/D14</f>
        <v>28.316846999999999</v>
      </c>
      <c r="G16" s="24">
        <v>159.05088235294116</v>
      </c>
      <c r="H16" s="16"/>
      <c r="N16" s="25" t="s">
        <v>454</v>
      </c>
      <c r="O16" s="26">
        <v>1E-3</v>
      </c>
      <c r="P16" s="8" t="s">
        <v>455</v>
      </c>
      <c r="Q16" s="16" t="s">
        <v>456</v>
      </c>
      <c r="U16" s="1" t="s">
        <v>457</v>
      </c>
      <c r="V16" s="9">
        <f>D7</f>
        <v>1.1023113109243878</v>
      </c>
      <c r="W16" s="10" t="s">
        <v>458</v>
      </c>
      <c r="X16" s="43">
        <f t="shared" si="8"/>
        <v>1</v>
      </c>
      <c r="Y16" s="1" t="s">
        <v>459</v>
      </c>
      <c r="Z16" s="1">
        <f t="shared" si="9"/>
        <v>1</v>
      </c>
      <c r="AA16" s="1" t="s">
        <v>460</v>
      </c>
      <c r="AB16" s="9">
        <f t="shared" si="7"/>
        <v>9.4781712266701337E-7</v>
      </c>
      <c r="AC16" s="1" t="s">
        <v>461</v>
      </c>
      <c r="AD16" s="1">
        <f t="shared" si="10"/>
        <v>1</v>
      </c>
      <c r="AG16" s="12" t="s">
        <v>462</v>
      </c>
      <c r="AH16" s="1">
        <f>O41</f>
        <v>900</v>
      </c>
    </row>
    <row r="17" spans="1:34">
      <c r="A17" s="25" t="s">
        <v>463</v>
      </c>
      <c r="B17" s="42">
        <f>B14/E14</f>
        <v>264.17210707106841</v>
      </c>
      <c r="C17" s="28">
        <f>C14/E14</f>
        <v>2.6417210707106839E-4</v>
      </c>
      <c r="D17" s="23">
        <f>D14/E14</f>
        <v>0.26417210707106842</v>
      </c>
      <c r="E17" s="22">
        <v>1</v>
      </c>
      <c r="F17" s="23">
        <f>F14/E14</f>
        <v>7.4805211375990615</v>
      </c>
      <c r="G17" s="24">
        <v>42.016806722689076</v>
      </c>
      <c r="H17" s="16"/>
      <c r="N17" s="25" t="s">
        <v>464</v>
      </c>
      <c r="O17" s="26">
        <v>9.9999999999999995E-7</v>
      </c>
      <c r="P17" s="8" t="s">
        <v>465</v>
      </c>
      <c r="Q17" s="16" t="s">
        <v>466</v>
      </c>
      <c r="S17" s="1" t="s">
        <v>467</v>
      </c>
      <c r="T17" s="1">
        <v>0.63648302312054683</v>
      </c>
      <c r="U17" s="1" t="s">
        <v>468</v>
      </c>
      <c r="V17" s="9">
        <f>E3</f>
        <v>453.59237000000002</v>
      </c>
      <c r="W17" s="10" t="s">
        <v>469</v>
      </c>
      <c r="X17" s="43">
        <f t="shared" si="8"/>
        <v>0.26417210707106842</v>
      </c>
      <c r="Y17" s="1" t="s">
        <v>470</v>
      </c>
      <c r="Z17" s="1">
        <f t="shared" si="9"/>
        <v>3280.8398950131236</v>
      </c>
      <c r="AA17" s="1" t="s">
        <v>471</v>
      </c>
      <c r="AB17" s="9">
        <f t="shared" si="7"/>
        <v>3.7250613599999999E-4</v>
      </c>
      <c r="AC17" s="1" t="s">
        <v>472</v>
      </c>
      <c r="AD17" s="1">
        <f t="shared" si="10"/>
        <v>1.32E-3</v>
      </c>
      <c r="AG17" s="27" t="s">
        <v>473</v>
      </c>
      <c r="AH17" s="1">
        <f>O42</f>
        <v>-69</v>
      </c>
    </row>
    <row r="18" spans="1:34">
      <c r="A18" s="25" t="s">
        <v>474</v>
      </c>
      <c r="B18" s="42">
        <f>B14/F14</f>
        <v>35.314666212661322</v>
      </c>
      <c r="C18" s="28">
        <f>C14/F14</f>
        <v>3.5314666212661319E-5</v>
      </c>
      <c r="D18" s="23">
        <f>D14/F14</f>
        <v>3.5314666212661321E-2</v>
      </c>
      <c r="E18" s="23">
        <f>E14/F14</f>
        <v>0.13368052594273649</v>
      </c>
      <c r="F18" s="22">
        <v>1</v>
      </c>
      <c r="G18" s="29">
        <v>5.6168288211233826</v>
      </c>
      <c r="H18" s="16"/>
      <c r="N18" s="25" t="s">
        <v>475</v>
      </c>
      <c r="O18" s="26">
        <v>1.0000000000000001E-9</v>
      </c>
      <c r="P18" s="8" t="s">
        <v>476</v>
      </c>
      <c r="Q18" s="16" t="s">
        <v>477</v>
      </c>
      <c r="S18" s="1" t="s">
        <v>478</v>
      </c>
      <c r="T18" s="1">
        <v>0.82244699515927888</v>
      </c>
      <c r="U18" s="1" t="s">
        <v>479</v>
      </c>
      <c r="V18" s="9">
        <f>E4</f>
        <v>0.45359237000000002</v>
      </c>
      <c r="W18" s="10" t="s">
        <v>480</v>
      </c>
      <c r="X18" s="43">
        <f t="shared" si="8"/>
        <v>3.5314666212661321E-2</v>
      </c>
      <c r="Y18" s="1" t="s">
        <v>481</v>
      </c>
      <c r="Z18" s="1">
        <f t="shared" si="9"/>
        <v>0.62137273664980675</v>
      </c>
      <c r="AA18" s="1" t="s">
        <v>482</v>
      </c>
      <c r="AB18" s="9">
        <f t="shared" ref="AB18:AB25" si="12">D23</f>
        <v>1000000</v>
      </c>
      <c r="AC18" s="1" t="s">
        <v>483</v>
      </c>
      <c r="AD18" s="1">
        <f t="shared" si="10"/>
        <v>6.8000000000000005E-2</v>
      </c>
    </row>
    <row r="19" spans="1:34">
      <c r="A19" s="44" t="s">
        <v>484</v>
      </c>
      <c r="B19" s="45">
        <v>6.2872961482914267</v>
      </c>
      <c r="C19" s="31">
        <v>6.2872961482914275E-6</v>
      </c>
      <c r="D19" s="32">
        <v>6.2872961482914281E-3</v>
      </c>
      <c r="E19" s="32">
        <v>2.3800000000000002E-2</v>
      </c>
      <c r="F19" s="46">
        <v>0.17803640307485763</v>
      </c>
      <c r="G19" s="33">
        <v>1</v>
      </c>
      <c r="H19" s="16"/>
      <c r="N19" s="25" t="s">
        <v>485</v>
      </c>
      <c r="O19" s="26">
        <v>9.9999999999999998E-13</v>
      </c>
      <c r="P19" s="8" t="s">
        <v>486</v>
      </c>
      <c r="Q19" s="16" t="s">
        <v>487</v>
      </c>
      <c r="S19" s="1" t="s">
        <v>488</v>
      </c>
      <c r="T19" s="1">
        <v>0.30445707578441711</v>
      </c>
      <c r="U19" s="1" t="s">
        <v>489</v>
      </c>
      <c r="V19" s="9">
        <f>E5</f>
        <v>4.5359237000000004E-4</v>
      </c>
      <c r="W19" s="10" t="s">
        <v>490</v>
      </c>
      <c r="X19" s="9">
        <f t="shared" si="8"/>
        <v>6.2872961482914281E-3</v>
      </c>
      <c r="Y19" s="1" t="s">
        <v>491</v>
      </c>
      <c r="Z19" s="1">
        <f t="shared" si="9"/>
        <v>100000</v>
      </c>
      <c r="AA19" s="1" t="s">
        <v>492</v>
      </c>
      <c r="AB19" s="9">
        <f t="shared" si="12"/>
        <v>1000</v>
      </c>
      <c r="AC19" s="1" t="s">
        <v>493</v>
      </c>
      <c r="AD19" s="1">
        <f t="shared" si="10"/>
        <v>1.2999999999999999E-3</v>
      </c>
    </row>
    <row r="20" spans="1:34">
      <c r="A20" s="30" t="s">
        <v>494</v>
      </c>
      <c r="B20" s="138">
        <f>1/H14</f>
        <v>8.1071440153062876E-4</v>
      </c>
      <c r="C20" s="31"/>
      <c r="D20" s="32"/>
      <c r="E20" s="32"/>
      <c r="F20" s="46"/>
      <c r="G20" s="34"/>
      <c r="H20" s="35"/>
      <c r="N20" s="25" t="s">
        <v>495</v>
      </c>
      <c r="O20" s="26">
        <v>1.0000000000000001E-15</v>
      </c>
      <c r="P20" s="8" t="s">
        <v>496</v>
      </c>
      <c r="Q20" s="16" t="s">
        <v>497</v>
      </c>
      <c r="S20" s="1" t="s">
        <v>498</v>
      </c>
      <c r="T20" s="1">
        <v>0.22589666300566572</v>
      </c>
      <c r="U20" s="1" t="s">
        <v>499</v>
      </c>
      <c r="V20" s="9">
        <f>E6</f>
        <v>1</v>
      </c>
      <c r="W20" s="10" t="s">
        <v>500</v>
      </c>
      <c r="X20" s="11">
        <f t="shared" ref="X20:X25" si="13">E14</f>
        <v>3.7854109999999998E-3</v>
      </c>
      <c r="Y20" s="1" t="s">
        <v>501</v>
      </c>
      <c r="Z20" s="1">
        <f t="shared" ref="Z20:Z25" si="14">E37</f>
        <v>304.8</v>
      </c>
      <c r="AA20" s="1" t="s">
        <v>502</v>
      </c>
      <c r="AB20" s="9">
        <f t="shared" si="12"/>
        <v>1</v>
      </c>
      <c r="AC20" s="1" t="s">
        <v>503</v>
      </c>
      <c r="AD20" s="1">
        <f t="shared" ref="AD20:AD25" si="15">E46</f>
        <v>7.5</v>
      </c>
    </row>
    <row r="21" spans="1:34">
      <c r="N21" s="25" t="s">
        <v>504</v>
      </c>
      <c r="O21" s="26">
        <v>1.0000000000000001E-18</v>
      </c>
      <c r="P21" s="8" t="s">
        <v>505</v>
      </c>
      <c r="Q21" s="16" t="s">
        <v>506</v>
      </c>
      <c r="U21" s="1" t="s">
        <v>507</v>
      </c>
      <c r="V21" s="9">
        <f>E7</f>
        <v>5.0000000000000001E-4</v>
      </c>
      <c r="W21" s="10" t="s">
        <v>508</v>
      </c>
      <c r="X21" s="11">
        <f t="shared" si="13"/>
        <v>3785.4110000000001</v>
      </c>
      <c r="Y21" s="1" t="s">
        <v>509</v>
      </c>
      <c r="Z21" s="1">
        <f t="shared" si="14"/>
        <v>0.30480000000000002</v>
      </c>
      <c r="AA21" s="1" t="s">
        <v>510</v>
      </c>
      <c r="AB21" s="9">
        <f t="shared" si="12"/>
        <v>277.77777777777777</v>
      </c>
      <c r="AC21" s="1" t="s">
        <v>511</v>
      </c>
      <c r="AD21" s="1">
        <f t="shared" si="15"/>
        <v>750.06</v>
      </c>
    </row>
    <row r="22" spans="1:34">
      <c r="A22" s="2" t="s">
        <v>512</v>
      </c>
      <c r="B22" s="6" t="s">
        <v>513</v>
      </c>
      <c r="C22" s="6" t="s">
        <v>514</v>
      </c>
      <c r="D22" s="6" t="s">
        <v>515</v>
      </c>
      <c r="E22" s="6" t="s">
        <v>516</v>
      </c>
      <c r="F22" s="6" t="s">
        <v>517</v>
      </c>
      <c r="G22" s="6" t="s">
        <v>518</v>
      </c>
      <c r="H22" s="6" t="s">
        <v>519</v>
      </c>
      <c r="I22" s="6" t="s">
        <v>520</v>
      </c>
      <c r="J22" s="6" t="s">
        <v>521</v>
      </c>
      <c r="K22" s="6" t="s">
        <v>522</v>
      </c>
      <c r="L22" s="7" t="s">
        <v>523</v>
      </c>
      <c r="N22" s="25" t="s">
        <v>524</v>
      </c>
      <c r="O22" s="26">
        <v>9.9999999999999991E-22</v>
      </c>
      <c r="P22" s="8" t="s">
        <v>525</v>
      </c>
      <c r="Q22" s="16" t="s">
        <v>526</v>
      </c>
      <c r="U22" s="1" t="s">
        <v>527</v>
      </c>
      <c r="V22" s="9">
        <f>F3</f>
        <v>907184.74</v>
      </c>
      <c r="W22" s="10" t="s">
        <v>528</v>
      </c>
      <c r="X22" s="11">
        <f t="shared" si="13"/>
        <v>3.7854109999999999</v>
      </c>
      <c r="Y22" s="1" t="s">
        <v>529</v>
      </c>
      <c r="Z22" s="1">
        <f t="shared" si="14"/>
        <v>3.0480000000000004E-4</v>
      </c>
      <c r="AA22" s="1" t="s">
        <v>530</v>
      </c>
      <c r="AB22" s="9">
        <f t="shared" si="12"/>
        <v>0.27777777777777779</v>
      </c>
      <c r="AC22" s="1" t="s">
        <v>531</v>
      </c>
      <c r="AD22" s="1">
        <f t="shared" si="15"/>
        <v>760</v>
      </c>
    </row>
    <row r="23" spans="1:34">
      <c r="A23" s="20" t="s">
        <v>532</v>
      </c>
      <c r="B23" s="14">
        <v>1</v>
      </c>
      <c r="C23" s="15">
        <v>1000</v>
      </c>
      <c r="D23" s="15">
        <v>1000000</v>
      </c>
      <c r="E23" s="15">
        <v>3600</v>
      </c>
      <c r="F23" s="15">
        <v>3600000</v>
      </c>
      <c r="G23" s="15">
        <v>1055.05585</v>
      </c>
      <c r="H23" s="15">
        <f>G23*1000000</f>
        <v>1055055850</v>
      </c>
      <c r="I23" s="47">
        <f>1/B30</f>
        <v>2684519.5376862194</v>
      </c>
      <c r="J23" s="139">
        <f>K23/K$31</f>
        <v>105505585</v>
      </c>
      <c r="K23" s="15">
        <f>H23</f>
        <v>1055055850</v>
      </c>
      <c r="L23" s="48">
        <v>4186.8</v>
      </c>
      <c r="N23" s="44" t="s">
        <v>533</v>
      </c>
      <c r="O23" s="54">
        <v>9.9999999999999992E-25</v>
      </c>
      <c r="P23" s="55" t="s">
        <v>534</v>
      </c>
      <c r="Q23" s="35" t="s">
        <v>535</v>
      </c>
      <c r="U23" s="1" t="s">
        <v>536</v>
      </c>
      <c r="V23" s="9">
        <f>F4</f>
        <v>907.18474000000003</v>
      </c>
      <c r="W23" s="10" t="s">
        <v>537</v>
      </c>
      <c r="X23" s="11">
        <f t="shared" si="13"/>
        <v>1</v>
      </c>
      <c r="Y23" s="1" t="s">
        <v>538</v>
      </c>
      <c r="Z23" s="1">
        <f t="shared" si="14"/>
        <v>1</v>
      </c>
      <c r="AA23" s="1" t="s">
        <v>539</v>
      </c>
      <c r="AB23" s="9">
        <f t="shared" si="12"/>
        <v>947.81712266701334</v>
      </c>
      <c r="AC23" s="1" t="s">
        <v>540</v>
      </c>
      <c r="AD23" s="1">
        <f t="shared" si="15"/>
        <v>1</v>
      </c>
    </row>
    <row r="24" spans="1:34">
      <c r="A24" s="20" t="s">
        <v>541</v>
      </c>
      <c r="B24" s="49">
        <f>B23/C23</f>
        <v>1E-3</v>
      </c>
      <c r="C24" s="22">
        <v>1</v>
      </c>
      <c r="D24" s="22">
        <f>D23/C23</f>
        <v>1000</v>
      </c>
      <c r="E24" s="50">
        <f>E23/C23</f>
        <v>3.6</v>
      </c>
      <c r="F24" s="22">
        <f>F23/C23</f>
        <v>3600</v>
      </c>
      <c r="G24" s="23">
        <f>G23/C23</f>
        <v>1.05505585</v>
      </c>
      <c r="H24" s="22">
        <f>H23/C23</f>
        <v>1055055.8500000001</v>
      </c>
      <c r="I24" s="1">
        <f>1/C30</f>
        <v>2684.5195376862198</v>
      </c>
      <c r="J24" s="140">
        <f>K24/K$31</f>
        <v>105505.58500000001</v>
      </c>
      <c r="K24" s="22">
        <f>H24</f>
        <v>1055055.8500000001</v>
      </c>
      <c r="L24" s="51">
        <f>L23/1000</f>
        <v>4.1867999999999999</v>
      </c>
      <c r="U24" s="1" t="s">
        <v>542</v>
      </c>
      <c r="V24" s="9">
        <f>F5</f>
        <v>0.90718474000000004</v>
      </c>
      <c r="W24" s="10" t="s">
        <v>543</v>
      </c>
      <c r="X24" s="11">
        <f t="shared" si="13"/>
        <v>0.13368052594273649</v>
      </c>
      <c r="Y24" s="1" t="s">
        <v>544</v>
      </c>
      <c r="Z24" s="1">
        <f t="shared" si="14"/>
        <v>1.8939393939393939E-4</v>
      </c>
      <c r="AA24" s="1" t="s">
        <v>545</v>
      </c>
      <c r="AB24" s="9">
        <f t="shared" si="12"/>
        <v>9.4781712266701326E-4</v>
      </c>
      <c r="AC24" s="1" t="s">
        <v>546</v>
      </c>
      <c r="AD24" s="1">
        <f t="shared" si="15"/>
        <v>51.715000000000003</v>
      </c>
    </row>
    <row r="25" spans="1:34">
      <c r="A25" s="20" t="s">
        <v>105</v>
      </c>
      <c r="B25" s="21">
        <f>B23/D23</f>
        <v>9.9999999999999995E-7</v>
      </c>
      <c r="C25" s="23">
        <f>C23/D23</f>
        <v>1E-3</v>
      </c>
      <c r="D25" s="22">
        <v>1</v>
      </c>
      <c r="E25" s="52">
        <f>E23/D23</f>
        <v>3.5999999999999999E-3</v>
      </c>
      <c r="F25" s="50">
        <f>F23/D23</f>
        <v>3.6</v>
      </c>
      <c r="G25" s="28">
        <f>G23/D23</f>
        <v>1.0550558499999999E-3</v>
      </c>
      <c r="H25" s="22">
        <f>H23/D23</f>
        <v>1055.05585</v>
      </c>
      <c r="I25" s="1">
        <f>1/D30</f>
        <v>2.6845195376862194</v>
      </c>
      <c r="J25" s="140">
        <f t="shared" ref="J25:J32" si="16">K25/K$31</f>
        <v>105.505585</v>
      </c>
      <c r="K25" s="22">
        <f t="shared" ref="K25:K30" si="17">H25</f>
        <v>1055.05585</v>
      </c>
      <c r="L25" s="51">
        <f>L24/1000</f>
        <v>4.1868000000000001E-3</v>
      </c>
      <c r="U25" s="1" t="s">
        <v>547</v>
      </c>
      <c r="V25" s="9">
        <f>F6</f>
        <v>2000</v>
      </c>
      <c r="W25" s="10" t="s">
        <v>548</v>
      </c>
      <c r="X25" s="9">
        <f t="shared" si="13"/>
        <v>2.3800000000000002E-2</v>
      </c>
      <c r="Y25" s="1" t="s">
        <v>549</v>
      </c>
      <c r="Z25" s="1">
        <f t="shared" si="14"/>
        <v>30.48</v>
      </c>
      <c r="AA25" s="1" t="s">
        <v>550</v>
      </c>
      <c r="AB25" s="9">
        <f t="shared" si="12"/>
        <v>0.37250613599999999</v>
      </c>
      <c r="AC25" s="1" t="s">
        <v>551</v>
      </c>
      <c r="AD25" s="1">
        <f t="shared" si="15"/>
        <v>1</v>
      </c>
    </row>
    <row r="26" spans="1:34">
      <c r="A26" s="20" t="s">
        <v>552</v>
      </c>
      <c r="B26" s="21">
        <f>B23/E23</f>
        <v>2.7777777777777778E-4</v>
      </c>
      <c r="C26" s="23">
        <f>C23/E23</f>
        <v>0.27777777777777779</v>
      </c>
      <c r="D26" s="22">
        <f>D23/E23</f>
        <v>277.77777777777777</v>
      </c>
      <c r="E26" s="22">
        <v>1</v>
      </c>
      <c r="F26" s="22">
        <f>F23/E23</f>
        <v>1000</v>
      </c>
      <c r="G26" s="23">
        <f>G23/E23</f>
        <v>0.29307106944444444</v>
      </c>
      <c r="H26" s="22">
        <f>H23/E23</f>
        <v>293071.06944444444</v>
      </c>
      <c r="I26" s="1">
        <f>1/E30</f>
        <v>745.69987157950538</v>
      </c>
      <c r="J26" s="140">
        <f t="shared" si="16"/>
        <v>29307.106944444444</v>
      </c>
      <c r="K26" s="22">
        <f t="shared" si="17"/>
        <v>293071.06944444444</v>
      </c>
      <c r="L26" s="53">
        <f>L$23*B26</f>
        <v>1.163</v>
      </c>
      <c r="U26" s="1" t="s">
        <v>553</v>
      </c>
      <c r="V26" s="9">
        <f>F7</f>
        <v>1</v>
      </c>
      <c r="W26" s="10" t="s">
        <v>554</v>
      </c>
      <c r="X26" s="11">
        <f t="shared" ref="X26:X31" si="18">F14</f>
        <v>2.8316846999999999E-2</v>
      </c>
      <c r="Y26" s="1" t="s">
        <v>555</v>
      </c>
      <c r="Z26" s="1">
        <f t="shared" ref="Z26:Z31" si="19">F37</f>
        <v>1609340</v>
      </c>
      <c r="AA26" s="1" t="s">
        <v>556</v>
      </c>
      <c r="AB26" s="9">
        <f t="shared" ref="AB26:AB33" si="20">E23</f>
        <v>3600</v>
      </c>
      <c r="AC26" s="1" t="s">
        <v>557</v>
      </c>
      <c r="AD26" s="1">
        <f t="shared" ref="AD26:AD31" si="21">F46</f>
        <v>0.14599999999999999</v>
      </c>
    </row>
    <row r="27" spans="1:34">
      <c r="A27" s="20" t="s">
        <v>558</v>
      </c>
      <c r="B27" s="56">
        <f>B23/F23</f>
        <v>2.7777777777777776E-7</v>
      </c>
      <c r="C27" s="28">
        <f>C23/F23</f>
        <v>2.7777777777777778E-4</v>
      </c>
      <c r="D27" s="23">
        <f>D23/F23</f>
        <v>0.27777777777777779</v>
      </c>
      <c r="E27" s="23">
        <f>E23/F23</f>
        <v>1E-3</v>
      </c>
      <c r="F27" s="22">
        <v>1</v>
      </c>
      <c r="G27" s="28">
        <f>G23/F23</f>
        <v>2.9307106944444444E-4</v>
      </c>
      <c r="H27" s="22">
        <f>H23/F23</f>
        <v>293.07106944444445</v>
      </c>
      <c r="I27" s="1">
        <f>1/F30</f>
        <v>0.74569987157950535</v>
      </c>
      <c r="J27" s="140">
        <f t="shared" si="16"/>
        <v>29.307106944444445</v>
      </c>
      <c r="K27" s="22">
        <f t="shared" si="17"/>
        <v>293.07106944444445</v>
      </c>
      <c r="L27" s="53">
        <f t="shared" ref="L27:L32" si="22">L$23*B27</f>
        <v>1.163E-3</v>
      </c>
      <c r="U27" s="1" t="s">
        <v>559</v>
      </c>
      <c r="V27" s="1">
        <f>G6</f>
        <v>56</v>
      </c>
      <c r="W27" s="10" t="s">
        <v>560</v>
      </c>
      <c r="X27" s="11">
        <f t="shared" si="18"/>
        <v>28316.847000000002</v>
      </c>
      <c r="Y27" s="1" t="s">
        <v>561</v>
      </c>
      <c r="Z27" s="1">
        <f t="shared" si="19"/>
        <v>1609.34</v>
      </c>
      <c r="AA27" s="1" t="s">
        <v>562</v>
      </c>
      <c r="AB27" s="9">
        <f t="shared" si="20"/>
        <v>3.6</v>
      </c>
      <c r="AC27" s="1" t="s">
        <v>563</v>
      </c>
      <c r="AD27" s="1">
        <f t="shared" si="21"/>
        <v>14.504</v>
      </c>
    </row>
    <row r="28" spans="1:34">
      <c r="A28" s="20" t="s">
        <v>564</v>
      </c>
      <c r="B28" s="21">
        <f>B23/G23</f>
        <v>9.4781712266701337E-4</v>
      </c>
      <c r="C28" s="23">
        <f>C23/G23</f>
        <v>0.94781712266701335</v>
      </c>
      <c r="D28" s="22">
        <f>D23/G23</f>
        <v>947.81712266701334</v>
      </c>
      <c r="E28" s="23">
        <f>E23/G23</f>
        <v>3.4121416416012482</v>
      </c>
      <c r="F28" s="22">
        <f>F23/G23</f>
        <v>3412.141641601248</v>
      </c>
      <c r="G28" s="22">
        <v>1</v>
      </c>
      <c r="H28" s="22">
        <f>H23/G23</f>
        <v>1000000</v>
      </c>
      <c r="I28" s="1">
        <f>1/G30</f>
        <v>2544.4335839531336</v>
      </c>
      <c r="J28" s="140">
        <f t="shared" si="16"/>
        <v>100000</v>
      </c>
      <c r="K28" s="22">
        <f t="shared" si="17"/>
        <v>1000000</v>
      </c>
      <c r="L28" s="53">
        <f t="shared" si="22"/>
        <v>3.9683207291822518</v>
      </c>
      <c r="U28" s="1" t="s">
        <v>565</v>
      </c>
      <c r="V28" s="62">
        <f>E8</f>
        <v>1.7857142857142856E-2</v>
      </c>
      <c r="W28" s="10" t="s">
        <v>566</v>
      </c>
      <c r="X28" s="11">
        <f t="shared" si="18"/>
        <v>28.316846999999999</v>
      </c>
      <c r="Y28" s="1" t="s">
        <v>567</v>
      </c>
      <c r="Z28" s="1">
        <f t="shared" si="19"/>
        <v>1.60934</v>
      </c>
      <c r="AA28" s="1" t="s">
        <v>568</v>
      </c>
      <c r="AB28" s="9">
        <f t="shared" si="20"/>
        <v>3.5999999999999999E-3</v>
      </c>
      <c r="AC28" s="1" t="s">
        <v>569</v>
      </c>
      <c r="AD28" s="1">
        <f t="shared" si="21"/>
        <v>14.696</v>
      </c>
    </row>
    <row r="29" spans="1:34">
      <c r="A29" s="20" t="s">
        <v>570</v>
      </c>
      <c r="B29" s="57">
        <f>B23/H23</f>
        <v>9.4781712266701324E-10</v>
      </c>
      <c r="C29" s="28">
        <f>C23/H23</f>
        <v>9.4781712266701337E-7</v>
      </c>
      <c r="D29" s="28">
        <f>D23/H23</f>
        <v>9.4781712266701326E-4</v>
      </c>
      <c r="E29" s="58">
        <f>E23/H23</f>
        <v>3.4121416416012478E-6</v>
      </c>
      <c r="F29" s="28">
        <f>F23/H23</f>
        <v>3.4121416416012479E-3</v>
      </c>
      <c r="G29" s="28">
        <f>G23/H23</f>
        <v>9.9999999999999995E-7</v>
      </c>
      <c r="H29" s="22">
        <v>1</v>
      </c>
      <c r="I29" s="1">
        <f>1/H30</f>
        <v>2.5444335839531337E-3</v>
      </c>
      <c r="J29" s="141">
        <f t="shared" si="16"/>
        <v>0.1</v>
      </c>
      <c r="K29" s="22">
        <f t="shared" si="17"/>
        <v>1</v>
      </c>
      <c r="L29" s="53">
        <f t="shared" si="22"/>
        <v>3.9683207291822509E-6</v>
      </c>
      <c r="N29" s="63" t="s">
        <v>284</v>
      </c>
      <c r="O29" s="64" t="s">
        <v>571</v>
      </c>
      <c r="P29" s="19" t="s">
        <v>571</v>
      </c>
      <c r="U29" s="1" t="s">
        <v>572</v>
      </c>
      <c r="V29" s="1">
        <v>1000</v>
      </c>
      <c r="W29" s="10" t="s">
        <v>573</v>
      </c>
      <c r="X29" s="11">
        <f t="shared" si="18"/>
        <v>7.4805211375990615</v>
      </c>
      <c r="Y29" s="1" t="s">
        <v>574</v>
      </c>
      <c r="Z29" s="1">
        <f t="shared" si="19"/>
        <v>5280</v>
      </c>
      <c r="AA29" s="1" t="s">
        <v>575</v>
      </c>
      <c r="AB29" s="9">
        <f t="shared" si="20"/>
        <v>1</v>
      </c>
      <c r="AC29" s="1" t="s">
        <v>576</v>
      </c>
      <c r="AD29" s="1">
        <f t="shared" si="21"/>
        <v>1.9300000000000001E-2</v>
      </c>
    </row>
    <row r="30" spans="1:34" ht="15.75">
      <c r="A30" s="20" t="s">
        <v>577</v>
      </c>
      <c r="B30" s="12">
        <f>C30/1000</f>
        <v>3.72506136E-7</v>
      </c>
      <c r="C30" s="1">
        <f>D30/1000</f>
        <v>3.7250613599999999E-4</v>
      </c>
      <c r="D30" s="1">
        <f>F30/3.6</f>
        <v>0.37250613599999999</v>
      </c>
      <c r="E30" s="1">
        <f>F30/1000</f>
        <v>1.3410220896E-3</v>
      </c>
      <c r="F30" s="1">
        <v>1.3410220896</v>
      </c>
      <c r="G30" s="1">
        <f>F30/F28</f>
        <v>3.9301477794769559E-4</v>
      </c>
      <c r="H30" s="1">
        <f>G30*1000000</f>
        <v>393.01477794769556</v>
      </c>
      <c r="I30" s="1">
        <v>1</v>
      </c>
      <c r="J30" s="141">
        <f t="shared" si="16"/>
        <v>39.301477794769553</v>
      </c>
      <c r="K30" s="22">
        <f t="shared" si="17"/>
        <v>393.01477794769556</v>
      </c>
      <c r="L30" s="53">
        <f t="shared" si="22"/>
        <v>1.5596086902048001E-3</v>
      </c>
      <c r="N30" s="27" t="s">
        <v>578</v>
      </c>
      <c r="O30" s="68">
        <v>100</v>
      </c>
      <c r="P30" s="35">
        <v>20</v>
      </c>
      <c r="S30" s="137" t="s">
        <v>579</v>
      </c>
      <c r="T30" s="137" t="s">
        <v>580</v>
      </c>
      <c r="U30" s="1" t="s">
        <v>581</v>
      </c>
      <c r="V30" s="1">
        <f>1/1000</f>
        <v>1E-3</v>
      </c>
      <c r="W30" s="10" t="s">
        <v>582</v>
      </c>
      <c r="X30" s="11">
        <f t="shared" si="18"/>
        <v>1</v>
      </c>
      <c r="Y30" s="1" t="s">
        <v>583</v>
      </c>
      <c r="Z30" s="1">
        <f t="shared" si="19"/>
        <v>1</v>
      </c>
      <c r="AA30" s="1" t="s">
        <v>584</v>
      </c>
      <c r="AB30" s="9">
        <f t="shared" si="20"/>
        <v>1E-3</v>
      </c>
      <c r="AC30" s="1" t="s">
        <v>585</v>
      </c>
      <c r="AD30" s="1">
        <f t="shared" si="21"/>
        <v>1</v>
      </c>
    </row>
    <row r="31" spans="1:34" ht="15.75">
      <c r="A31" s="20" t="s">
        <v>586</v>
      </c>
      <c r="B31" s="59">
        <f>B32*10</f>
        <v>9.4781712266701316E-9</v>
      </c>
      <c r="C31" s="60">
        <f t="shared" ref="C31:I31" si="23">C32*10</f>
        <v>9.4781712266701341E-6</v>
      </c>
      <c r="D31" s="60">
        <f t="shared" si="23"/>
        <v>9.4781712266701328E-3</v>
      </c>
      <c r="E31" s="60">
        <f t="shared" si="23"/>
        <v>3.4121416416012479E-5</v>
      </c>
      <c r="F31" s="60">
        <f t="shared" si="23"/>
        <v>3.4121416416012476E-2</v>
      </c>
      <c r="G31" s="60">
        <f t="shared" si="23"/>
        <v>9.9999999999999991E-6</v>
      </c>
      <c r="H31" s="61">
        <f t="shared" si="23"/>
        <v>10</v>
      </c>
      <c r="I31" s="60">
        <f t="shared" si="23"/>
        <v>2.5444335839531339E-2</v>
      </c>
      <c r="J31" s="140">
        <f t="shared" si="16"/>
        <v>1</v>
      </c>
      <c r="K31" s="1">
        <v>10</v>
      </c>
      <c r="L31" s="53">
        <f t="shared" si="22"/>
        <v>3.9683207291822507E-5</v>
      </c>
      <c r="N31" s="12" t="s">
        <v>7</v>
      </c>
      <c r="O31" s="69">
        <v>1</v>
      </c>
      <c r="P31" s="16">
        <v>1</v>
      </c>
      <c r="S31" s="137" t="s">
        <v>587</v>
      </c>
      <c r="T31" s="137">
        <v>35.453000000000003</v>
      </c>
      <c r="U31" s="1" t="s">
        <v>588</v>
      </c>
      <c r="V31" s="1">
        <f>H6</f>
        <v>56</v>
      </c>
      <c r="W31" s="10" t="s">
        <v>589</v>
      </c>
      <c r="X31" s="9">
        <f t="shared" si="18"/>
        <v>0.17803640307485763</v>
      </c>
      <c r="Y31" s="1" t="s">
        <v>590</v>
      </c>
      <c r="Z31" s="1">
        <f t="shared" si="19"/>
        <v>160934</v>
      </c>
      <c r="AA31" s="1" t="s">
        <v>591</v>
      </c>
      <c r="AB31" s="9">
        <f t="shared" si="20"/>
        <v>3.4121416416012482</v>
      </c>
      <c r="AC31" s="1" t="s">
        <v>592</v>
      </c>
      <c r="AD31" s="1">
        <f t="shared" si="21"/>
        <v>1.9300000000000001E-2</v>
      </c>
    </row>
    <row r="32" spans="1:34" ht="15.75">
      <c r="A32" s="20" t="s">
        <v>593</v>
      </c>
      <c r="B32" s="59">
        <f>B26/H26</f>
        <v>9.4781712266701324E-10</v>
      </c>
      <c r="C32" s="60">
        <f>C26/H26</f>
        <v>9.4781712266701337E-7</v>
      </c>
      <c r="D32" s="60">
        <f>D26/H26</f>
        <v>9.4781712266701326E-4</v>
      </c>
      <c r="E32" s="60">
        <f>E26/H26</f>
        <v>3.4121416416012482E-6</v>
      </c>
      <c r="F32" s="60">
        <f>F26/H26</f>
        <v>3.4121416416012479E-3</v>
      </c>
      <c r="G32" s="60">
        <f>G26/H26</f>
        <v>9.9999999999999995E-7</v>
      </c>
      <c r="H32" s="22">
        <v>1</v>
      </c>
      <c r="I32" s="1">
        <f>1/K30</f>
        <v>2.5444335839531337E-3</v>
      </c>
      <c r="J32" s="141">
        <f t="shared" si="16"/>
        <v>0.1</v>
      </c>
      <c r="K32" s="1">
        <v>1</v>
      </c>
      <c r="L32" s="53">
        <f t="shared" si="22"/>
        <v>3.9683207291822509E-6</v>
      </c>
      <c r="N32" s="12" t="s">
        <v>594</v>
      </c>
      <c r="O32" s="69">
        <v>30</v>
      </c>
      <c r="P32" s="16">
        <v>85</v>
      </c>
      <c r="S32" s="137" t="s">
        <v>595</v>
      </c>
      <c r="T32" s="137">
        <v>39.098300000000002</v>
      </c>
      <c r="U32" s="1" t="s">
        <v>596</v>
      </c>
      <c r="V32" s="1">
        <f>I6</f>
        <v>60</v>
      </c>
      <c r="W32" s="10" t="s">
        <v>597</v>
      </c>
      <c r="X32" s="9">
        <f t="shared" ref="X32:X37" si="24">G14</f>
        <v>0.15905088235294118</v>
      </c>
      <c r="Y32" s="1" t="s">
        <v>598</v>
      </c>
      <c r="Z32" s="1">
        <f t="shared" ref="Z32:Z37" si="25">G37</f>
        <v>10</v>
      </c>
      <c r="AA32" s="1" t="s">
        <v>599</v>
      </c>
      <c r="AB32" s="9">
        <f t="shared" si="20"/>
        <v>3.4121416416012478E-6</v>
      </c>
      <c r="AC32" s="1" t="s">
        <v>600</v>
      </c>
      <c r="AD32" s="1">
        <f t="shared" ref="AD32:AD37" si="26">G46</f>
        <v>7.5</v>
      </c>
    </row>
    <row r="33" spans="1:30" ht="15.75">
      <c r="A33" s="30" t="s">
        <v>601</v>
      </c>
      <c r="B33" s="65">
        <f>1/L23</f>
        <v>2.3884589662749592E-4</v>
      </c>
      <c r="C33" s="66">
        <f>1/L24</f>
        <v>0.23884589662749595</v>
      </c>
      <c r="D33" s="66">
        <f>1/L25</f>
        <v>238.84589662749593</v>
      </c>
      <c r="E33" s="66">
        <f>1/L26</f>
        <v>0.85984522785898532</v>
      </c>
      <c r="F33" s="66">
        <f>1/L27</f>
        <v>859.84522785898537</v>
      </c>
      <c r="G33" s="66">
        <f>1/L28</f>
        <v>0.25199576048533484</v>
      </c>
      <c r="H33" s="34">
        <f>1/L29</f>
        <v>251995.7604853349</v>
      </c>
      <c r="I33" s="67">
        <f>1/L30</f>
        <v>641.18647599269593</v>
      </c>
      <c r="J33" s="142">
        <f>1/L31</f>
        <v>25199.57604853349</v>
      </c>
      <c r="K33" s="67">
        <f>1/L32</f>
        <v>251995.7604853349</v>
      </c>
      <c r="L33" s="35">
        <v>1</v>
      </c>
      <c r="N33" s="27" t="s">
        <v>602</v>
      </c>
      <c r="O33" s="68">
        <v>265</v>
      </c>
      <c r="P33" s="35">
        <v>264</v>
      </c>
      <c r="S33" s="137" t="s">
        <v>603</v>
      </c>
      <c r="T33" s="137">
        <v>22.989799999999999</v>
      </c>
      <c r="U33" s="1" t="s">
        <v>604</v>
      </c>
      <c r="V33" s="62">
        <f>E9</f>
        <v>1.7857142857142856E-2</v>
      </c>
      <c r="W33" s="10" t="s">
        <v>605</v>
      </c>
      <c r="X33" s="9">
        <f t="shared" si="24"/>
        <v>159050.88235294117</v>
      </c>
      <c r="Y33" s="1" t="s">
        <v>606</v>
      </c>
      <c r="Z33" s="1">
        <f t="shared" si="25"/>
        <v>0.01</v>
      </c>
      <c r="AA33" s="1" t="s">
        <v>607</v>
      </c>
      <c r="AB33" s="9">
        <f t="shared" si="20"/>
        <v>1.3410220896E-3</v>
      </c>
      <c r="AC33" s="1" t="s">
        <v>608</v>
      </c>
      <c r="AD33" s="1">
        <f t="shared" si="26"/>
        <v>750.06</v>
      </c>
    </row>
    <row r="34" spans="1:30" ht="15.75">
      <c r="A34" s="8"/>
      <c r="B34" s="60"/>
      <c r="C34" s="60"/>
      <c r="D34" s="60"/>
      <c r="E34" s="60"/>
      <c r="F34" s="60"/>
      <c r="G34" s="60"/>
      <c r="H34" s="22"/>
      <c r="J34" s="141"/>
      <c r="S34" s="137" t="s">
        <v>609</v>
      </c>
      <c r="T34" s="137">
        <v>1.0079400000000001</v>
      </c>
      <c r="U34" s="1" t="s">
        <v>610</v>
      </c>
      <c r="V34" s="62">
        <f>E10</f>
        <v>1.6666666666666666E-2</v>
      </c>
      <c r="W34" s="10" t="s">
        <v>611</v>
      </c>
      <c r="X34" s="9">
        <f t="shared" si="24"/>
        <v>159.05088235294116</v>
      </c>
      <c r="Y34" s="1" t="s">
        <v>612</v>
      </c>
      <c r="Z34" s="1">
        <f t="shared" si="25"/>
        <v>1.0000000000000001E-5</v>
      </c>
      <c r="AA34" s="1" t="s">
        <v>613</v>
      </c>
      <c r="AB34" s="9">
        <f t="shared" ref="AB34:AB41" si="27">F23</f>
        <v>3600000</v>
      </c>
      <c r="AC34" s="1" t="s">
        <v>614</v>
      </c>
      <c r="AD34" s="1">
        <f t="shared" si="26"/>
        <v>760</v>
      </c>
    </row>
    <row r="35" spans="1:30" ht="15.75">
      <c r="S35" s="137" t="s">
        <v>615</v>
      </c>
      <c r="T35" s="137">
        <v>30.973700000000001</v>
      </c>
      <c r="U35" s="1" t="s">
        <v>616</v>
      </c>
      <c r="V35" s="1">
        <f>J6</f>
        <v>100</v>
      </c>
      <c r="W35" s="10" t="s">
        <v>617</v>
      </c>
      <c r="X35" s="9">
        <f t="shared" si="24"/>
        <v>42.016806722689076</v>
      </c>
      <c r="Y35" s="1" t="s">
        <v>618</v>
      </c>
      <c r="Z35" s="1">
        <f t="shared" si="25"/>
        <v>3.2808398950131233E-2</v>
      </c>
      <c r="AA35" s="1" t="s">
        <v>619</v>
      </c>
      <c r="AB35" s="9">
        <f t="shared" si="27"/>
        <v>3600</v>
      </c>
      <c r="AC35" s="1" t="s">
        <v>620</v>
      </c>
      <c r="AD35" s="1">
        <f t="shared" si="26"/>
        <v>1</v>
      </c>
    </row>
    <row r="36" spans="1:30" ht="15.75">
      <c r="A36" s="2" t="s">
        <v>621</v>
      </c>
      <c r="B36" s="47" t="s">
        <v>622</v>
      </c>
      <c r="C36" s="47" t="s">
        <v>455</v>
      </c>
      <c r="D36" s="47" t="s">
        <v>137</v>
      </c>
      <c r="E36" s="47" t="s">
        <v>623</v>
      </c>
      <c r="F36" s="47" t="s">
        <v>624</v>
      </c>
      <c r="G36" s="19" t="s">
        <v>625</v>
      </c>
      <c r="H36" s="19" t="s">
        <v>626</v>
      </c>
      <c r="N36" s="63" t="s">
        <v>627</v>
      </c>
      <c r="O36" s="64" t="s">
        <v>284</v>
      </c>
      <c r="P36" s="19" t="s">
        <v>284</v>
      </c>
      <c r="S36" s="137" t="s">
        <v>628</v>
      </c>
      <c r="T36" s="137">
        <v>15.9994</v>
      </c>
      <c r="U36" s="1" t="s">
        <v>629</v>
      </c>
      <c r="V36" s="62">
        <f>E11</f>
        <v>0.01</v>
      </c>
      <c r="W36" s="10" t="s">
        <v>630</v>
      </c>
      <c r="X36" s="9">
        <f t="shared" si="24"/>
        <v>5.6168288211233826</v>
      </c>
      <c r="Y36" s="1" t="s">
        <v>631</v>
      </c>
      <c r="Z36" s="1">
        <f t="shared" si="25"/>
        <v>6.2137273664980679E-6</v>
      </c>
      <c r="AA36" s="1" t="s">
        <v>632</v>
      </c>
      <c r="AB36" s="9">
        <f t="shared" si="27"/>
        <v>3.6</v>
      </c>
      <c r="AC36" s="1" t="s">
        <v>633</v>
      </c>
      <c r="AD36" s="1">
        <f t="shared" si="26"/>
        <v>51.715000000000003</v>
      </c>
    </row>
    <row r="37" spans="1:30">
      <c r="A37" s="20" t="s">
        <v>622</v>
      </c>
      <c r="B37" s="70">
        <v>1</v>
      </c>
      <c r="C37" s="47">
        <v>1000</v>
      </c>
      <c r="D37" s="47">
        <v>1000000</v>
      </c>
      <c r="E37" s="47">
        <v>304.8</v>
      </c>
      <c r="F37" s="47">
        <v>1609340</v>
      </c>
      <c r="G37" s="19">
        <v>10</v>
      </c>
      <c r="H37" s="16"/>
      <c r="N37" s="27" t="s">
        <v>578</v>
      </c>
      <c r="O37" s="68">
        <v>100</v>
      </c>
      <c r="P37" s="35">
        <v>20</v>
      </c>
      <c r="S37" s="1" t="s">
        <v>634</v>
      </c>
      <c r="T37" s="1">
        <v>14.0067</v>
      </c>
      <c r="W37" s="10" t="s">
        <v>635</v>
      </c>
      <c r="X37" s="9">
        <f t="shared" si="24"/>
        <v>1</v>
      </c>
      <c r="Y37" s="1" t="s">
        <v>636</v>
      </c>
      <c r="Z37" s="1">
        <f t="shared" si="25"/>
        <v>1</v>
      </c>
      <c r="AA37" s="1" t="s">
        <v>637</v>
      </c>
      <c r="AB37" s="9">
        <f t="shared" si="27"/>
        <v>1000</v>
      </c>
      <c r="AC37" s="1" t="s">
        <v>638</v>
      </c>
      <c r="AD37" s="1">
        <f t="shared" si="26"/>
        <v>1</v>
      </c>
    </row>
    <row r="38" spans="1:30">
      <c r="A38" s="20" t="s">
        <v>455</v>
      </c>
      <c r="B38" s="12">
        <v>1E-3</v>
      </c>
      <c r="C38" s="1">
        <v>1</v>
      </c>
      <c r="D38" s="1">
        <v>1000</v>
      </c>
      <c r="E38" s="1">
        <v>0.30480000000000002</v>
      </c>
      <c r="F38" s="1">
        <v>1609.34</v>
      </c>
      <c r="G38" s="16">
        <v>0.01</v>
      </c>
      <c r="H38" s="16"/>
      <c r="N38" s="12" t="s">
        <v>639</v>
      </c>
      <c r="O38" s="69">
        <v>4.5</v>
      </c>
      <c r="P38" s="16">
        <v>14</v>
      </c>
      <c r="S38" s="1" t="s">
        <v>640</v>
      </c>
      <c r="T38" s="1">
        <v>12.0107</v>
      </c>
      <c r="W38" s="1" t="s">
        <v>641</v>
      </c>
      <c r="X38" s="9">
        <f>H14</f>
        <v>1233.48</v>
      </c>
      <c r="Y38" s="1" t="s">
        <v>642</v>
      </c>
      <c r="Z38" s="1">
        <f>H42</f>
        <v>2.54</v>
      </c>
      <c r="AA38" s="1" t="s">
        <v>643</v>
      </c>
      <c r="AB38" s="9">
        <f t="shared" si="27"/>
        <v>1</v>
      </c>
    </row>
    <row r="39" spans="1:30">
      <c r="A39" s="20" t="s">
        <v>137</v>
      </c>
      <c r="B39" s="12">
        <v>9.9999999999999995E-7</v>
      </c>
      <c r="C39" s="1">
        <v>1E-3</v>
      </c>
      <c r="D39" s="1">
        <v>1</v>
      </c>
      <c r="E39" s="1">
        <v>3.0480000000000004E-4</v>
      </c>
      <c r="F39" s="1">
        <v>1.60934</v>
      </c>
      <c r="G39" s="16">
        <v>1.0000000000000001E-5</v>
      </c>
      <c r="H39" s="16"/>
      <c r="N39" s="12" t="s">
        <v>644</v>
      </c>
      <c r="O39" s="69">
        <v>2.65</v>
      </c>
      <c r="P39" s="16">
        <v>7.65</v>
      </c>
      <c r="S39" s="1" t="s">
        <v>645</v>
      </c>
      <c r="T39" s="1">
        <v>32.064999999999998</v>
      </c>
      <c r="W39" s="1" t="s">
        <v>646</v>
      </c>
      <c r="X39" s="71">
        <f>B20</f>
        <v>8.1071440153062876E-4</v>
      </c>
      <c r="Y39" s="1" t="s">
        <v>647</v>
      </c>
      <c r="Z39" s="1">
        <f>G43</f>
        <v>0.39370078740157477</v>
      </c>
      <c r="AA39" s="1" t="s">
        <v>648</v>
      </c>
      <c r="AB39" s="9">
        <f t="shared" si="27"/>
        <v>3412.141641601248</v>
      </c>
    </row>
    <row r="40" spans="1:30">
      <c r="A40" s="20" t="s">
        <v>623</v>
      </c>
      <c r="B40" s="12">
        <v>3.2808398950131233E-3</v>
      </c>
      <c r="C40" s="1">
        <v>3.2808398950131235</v>
      </c>
      <c r="D40" s="1">
        <v>3280.8398950131236</v>
      </c>
      <c r="E40" s="1">
        <v>1</v>
      </c>
      <c r="F40" s="1">
        <v>5280</v>
      </c>
      <c r="G40" s="16">
        <v>3.2808398950131233E-2</v>
      </c>
      <c r="H40" s="16"/>
      <c r="N40" s="12" t="s">
        <v>649</v>
      </c>
      <c r="O40" s="69">
        <v>-11</v>
      </c>
      <c r="P40" s="16">
        <v>19</v>
      </c>
      <c r="S40" s="1" t="s">
        <v>650</v>
      </c>
      <c r="T40" s="1">
        <v>40.078000000000003</v>
      </c>
      <c r="AA40" s="1" t="s">
        <v>651</v>
      </c>
      <c r="AB40" s="9">
        <f t="shared" si="27"/>
        <v>3.4121416416012479E-3</v>
      </c>
    </row>
    <row r="41" spans="1:30">
      <c r="A41" s="20" t="s">
        <v>624</v>
      </c>
      <c r="B41" s="12">
        <v>6.2137273664980671E-7</v>
      </c>
      <c r="C41" s="1">
        <v>6.2137273664980672E-4</v>
      </c>
      <c r="D41" s="1">
        <v>0.62137273664980675</v>
      </c>
      <c r="E41" s="1">
        <v>1.8939393939393939E-4</v>
      </c>
      <c r="F41" s="1">
        <v>1</v>
      </c>
      <c r="G41" s="16">
        <v>6.2137273664980679E-6</v>
      </c>
      <c r="H41" s="16"/>
      <c r="N41" s="12" t="s">
        <v>652</v>
      </c>
      <c r="O41" s="69">
        <v>900</v>
      </c>
      <c r="P41" s="16">
        <v>3200</v>
      </c>
      <c r="AA41" s="1" t="s">
        <v>653</v>
      </c>
      <c r="AB41" s="9">
        <f t="shared" si="27"/>
        <v>1.3410220896</v>
      </c>
    </row>
    <row r="42" spans="1:30">
      <c r="A42" s="30" t="s">
        <v>625</v>
      </c>
      <c r="B42" s="27">
        <v>0.1</v>
      </c>
      <c r="C42" s="67">
        <v>100</v>
      </c>
      <c r="D42" s="67">
        <v>100000</v>
      </c>
      <c r="E42" s="67">
        <v>30.48</v>
      </c>
      <c r="F42" s="67">
        <v>160934</v>
      </c>
      <c r="G42" s="35">
        <v>1</v>
      </c>
      <c r="H42" s="16">
        <v>2.54</v>
      </c>
      <c r="N42" s="27" t="s">
        <v>654</v>
      </c>
      <c r="O42" s="68">
        <v>-69</v>
      </c>
      <c r="P42" s="35">
        <v>-240</v>
      </c>
      <c r="AA42" s="1" t="s">
        <v>655</v>
      </c>
      <c r="AB42" s="9">
        <f t="shared" ref="AB42:AB49" si="28">G23</f>
        <v>1055.05585</v>
      </c>
    </row>
    <row r="43" spans="1:30">
      <c r="A43" s="27" t="s">
        <v>626</v>
      </c>
      <c r="B43" s="67"/>
      <c r="C43" s="67"/>
      <c r="D43" s="67"/>
      <c r="E43" s="67"/>
      <c r="F43" s="67"/>
      <c r="G43" s="67">
        <f>1/H42</f>
        <v>0.39370078740157477</v>
      </c>
      <c r="H43" s="35"/>
      <c r="AA43" s="1" t="s">
        <v>656</v>
      </c>
      <c r="AB43" s="9">
        <f t="shared" si="28"/>
        <v>1.05505585</v>
      </c>
    </row>
    <row r="44" spans="1:30">
      <c r="N44" s="73" t="s">
        <v>657</v>
      </c>
      <c r="O44" s="74"/>
      <c r="P44" s="75"/>
      <c r="W44" s="8"/>
      <c r="X44" s="9"/>
      <c r="AA44" s="1" t="s">
        <v>658</v>
      </c>
      <c r="AB44" s="9">
        <f t="shared" si="28"/>
        <v>1.0550558499999999E-3</v>
      </c>
    </row>
    <row r="45" spans="1:30">
      <c r="A45" s="72" t="s">
        <v>659</v>
      </c>
      <c r="B45" s="3" t="s">
        <v>660</v>
      </c>
      <c r="C45" s="3" t="s">
        <v>661</v>
      </c>
      <c r="D45" s="3" t="s">
        <v>662</v>
      </c>
      <c r="E45" s="3" t="s">
        <v>663</v>
      </c>
      <c r="F45" s="3" t="s">
        <v>664</v>
      </c>
      <c r="G45" s="4" t="s">
        <v>665</v>
      </c>
      <c r="N45" s="12" t="s">
        <v>666</v>
      </c>
      <c r="O45" s="64" t="s">
        <v>667</v>
      </c>
      <c r="P45" s="69">
        <v>0.85</v>
      </c>
      <c r="X45" s="9"/>
      <c r="AA45" s="1" t="s">
        <v>668</v>
      </c>
      <c r="AB45" s="9">
        <f t="shared" si="28"/>
        <v>0.29307106944444444</v>
      </c>
    </row>
    <row r="46" spans="1:30">
      <c r="A46" s="17" t="s">
        <v>669</v>
      </c>
      <c r="B46" s="1">
        <v>1</v>
      </c>
      <c r="C46" s="1">
        <v>0.01</v>
      </c>
      <c r="D46" s="1">
        <v>9.8700000000000003E-3</v>
      </c>
      <c r="E46" s="1">
        <v>7.5</v>
      </c>
      <c r="F46" s="1">
        <v>0.14599999999999999</v>
      </c>
      <c r="G46" s="16">
        <v>7.5</v>
      </c>
      <c r="N46" s="12" t="s">
        <v>670</v>
      </c>
      <c r="O46" s="69" t="s">
        <v>671</v>
      </c>
      <c r="P46" s="69">
        <v>0.42857142857142855</v>
      </c>
      <c r="AA46" s="1" t="s">
        <v>672</v>
      </c>
      <c r="AB46" s="9">
        <f t="shared" si="28"/>
        <v>2.9307106944444444E-4</v>
      </c>
    </row>
    <row r="47" spans="1:30">
      <c r="A47" s="25" t="s">
        <v>661</v>
      </c>
      <c r="B47" s="1">
        <v>100</v>
      </c>
      <c r="C47" s="1">
        <v>1</v>
      </c>
      <c r="D47" s="1">
        <v>0.98699999999999999</v>
      </c>
      <c r="E47" s="1">
        <v>750.06</v>
      </c>
      <c r="F47" s="1">
        <v>14.504</v>
      </c>
      <c r="G47" s="16">
        <v>750.06</v>
      </c>
      <c r="N47" s="12" t="s">
        <v>673</v>
      </c>
      <c r="O47" s="69" t="s">
        <v>674</v>
      </c>
      <c r="P47" s="69">
        <v>0.75</v>
      </c>
      <c r="AA47" s="1" t="s">
        <v>675</v>
      </c>
      <c r="AB47" s="9">
        <f t="shared" si="28"/>
        <v>1</v>
      </c>
    </row>
    <row r="48" spans="1:30">
      <c r="A48" s="25" t="s">
        <v>662</v>
      </c>
      <c r="B48" s="1">
        <v>101.325</v>
      </c>
      <c r="C48" s="1">
        <v>1.0129999999999999</v>
      </c>
      <c r="D48" s="1">
        <v>1</v>
      </c>
      <c r="E48" s="1">
        <v>760</v>
      </c>
      <c r="F48" s="1">
        <v>14.696</v>
      </c>
      <c r="G48" s="16">
        <v>760</v>
      </c>
      <c r="N48" s="12" t="s">
        <v>676</v>
      </c>
      <c r="O48" s="69" t="s">
        <v>677</v>
      </c>
      <c r="P48" s="69">
        <v>0.27272727272727271</v>
      </c>
      <c r="AA48" s="1" t="s">
        <v>678</v>
      </c>
      <c r="AB48" s="9">
        <f t="shared" si="28"/>
        <v>9.9999999999999995E-7</v>
      </c>
    </row>
    <row r="49" spans="1:28">
      <c r="A49" s="25" t="s">
        <v>663</v>
      </c>
      <c r="B49" s="1">
        <v>0.13300000000000001</v>
      </c>
      <c r="C49" s="1">
        <v>1.33E-3</v>
      </c>
      <c r="D49" s="1">
        <v>1.32E-3</v>
      </c>
      <c r="E49" s="1">
        <v>1</v>
      </c>
      <c r="F49" s="1">
        <v>1.9300000000000001E-2</v>
      </c>
      <c r="G49" s="16">
        <v>1</v>
      </c>
      <c r="N49" s="27" t="s">
        <v>679</v>
      </c>
      <c r="O49" s="68" t="s">
        <v>680</v>
      </c>
      <c r="P49" s="68">
        <v>0.5</v>
      </c>
      <c r="AA49" s="1" t="s">
        <v>681</v>
      </c>
      <c r="AB49" s="9">
        <f t="shared" si="28"/>
        <v>3.9301477794769559E-4</v>
      </c>
    </row>
    <row r="50" spans="1:28">
      <c r="A50" s="25" t="s">
        <v>664</v>
      </c>
      <c r="B50" s="1">
        <v>6.8949999999999996</v>
      </c>
      <c r="C50" s="1">
        <v>6.9000000000000006E-2</v>
      </c>
      <c r="D50" s="1">
        <v>6.8000000000000005E-2</v>
      </c>
      <c r="E50" s="1">
        <v>51.715000000000003</v>
      </c>
      <c r="F50" s="1">
        <v>1</v>
      </c>
      <c r="G50" s="16">
        <v>51.715000000000003</v>
      </c>
      <c r="AA50" s="1" t="s">
        <v>682</v>
      </c>
      <c r="AB50" s="9">
        <f t="shared" ref="AB50:AB57" si="29">H23</f>
        <v>1055055850</v>
      </c>
    </row>
    <row r="51" spans="1:28">
      <c r="A51" s="44" t="s">
        <v>665</v>
      </c>
      <c r="B51" s="67">
        <v>0.13300000000000001</v>
      </c>
      <c r="C51" s="67">
        <v>1.2999999999999999E-3</v>
      </c>
      <c r="D51" s="67">
        <v>1.2999999999999999E-3</v>
      </c>
      <c r="E51" s="67">
        <v>1</v>
      </c>
      <c r="F51" s="67">
        <v>1.9300000000000001E-2</v>
      </c>
      <c r="G51" s="35">
        <v>1</v>
      </c>
      <c r="AA51" s="1" t="s">
        <v>683</v>
      </c>
      <c r="AB51" s="9">
        <f t="shared" si="29"/>
        <v>1055055.8500000001</v>
      </c>
    </row>
    <row r="52" spans="1:28">
      <c r="N52" s="18" t="s">
        <v>684</v>
      </c>
      <c r="O52" s="143"/>
      <c r="P52" s="143"/>
      <c r="Q52" s="47"/>
      <c r="R52" s="47"/>
      <c r="S52" s="19"/>
      <c r="AA52" s="1" t="s">
        <v>685</v>
      </c>
      <c r="AB52" s="9">
        <f t="shared" si="29"/>
        <v>1055.05585</v>
      </c>
    </row>
    <row r="53" spans="1:28">
      <c r="N53" s="12" t="s">
        <v>686</v>
      </c>
      <c r="O53" s="1" t="s">
        <v>687</v>
      </c>
      <c r="P53" s="144" t="s">
        <v>688</v>
      </c>
      <c r="Q53" s="144" t="s">
        <v>689</v>
      </c>
      <c r="R53" s="144"/>
      <c r="S53" s="145"/>
      <c r="AA53" s="1" t="s">
        <v>690</v>
      </c>
      <c r="AB53" s="9">
        <f t="shared" si="29"/>
        <v>293071.06944444444</v>
      </c>
    </row>
    <row r="54" spans="1:28">
      <c r="A54" s="2" t="s">
        <v>691</v>
      </c>
      <c r="B54" s="6" t="s">
        <v>692</v>
      </c>
      <c r="C54" s="7" t="s">
        <v>693</v>
      </c>
      <c r="D54" s="1" t="s">
        <v>694</v>
      </c>
      <c r="N54" s="12" t="s">
        <v>695</v>
      </c>
      <c r="O54" s="1">
        <v>0.01</v>
      </c>
      <c r="P54" s="144">
        <v>1E-3</v>
      </c>
      <c r="Q54" s="144">
        <v>1.7999999999999999E-2</v>
      </c>
      <c r="R54" s="1" t="s">
        <v>696</v>
      </c>
      <c r="S54" s="146" t="s">
        <v>697</v>
      </c>
      <c r="AA54" s="1" t="s">
        <v>698</v>
      </c>
      <c r="AB54" s="9">
        <f t="shared" si="29"/>
        <v>293.07106944444445</v>
      </c>
    </row>
    <row r="55" spans="1:28">
      <c r="A55" s="20" t="s">
        <v>699</v>
      </c>
      <c r="B55" s="70">
        <v>1</v>
      </c>
      <c r="C55" s="76">
        <f>1/B56</f>
        <v>0.40468626697153032</v>
      </c>
      <c r="D55" s="1">
        <f>1/B57</f>
        <v>1E-4</v>
      </c>
      <c r="N55" s="12" t="s">
        <v>700</v>
      </c>
      <c r="O55" s="1">
        <v>0.1</v>
      </c>
      <c r="P55" s="144">
        <v>0.03</v>
      </c>
      <c r="Q55" s="144">
        <v>0.3</v>
      </c>
      <c r="R55" s="1" t="s">
        <v>701</v>
      </c>
      <c r="S55" s="146" t="s">
        <v>702</v>
      </c>
      <c r="AA55" s="1" t="s">
        <v>703</v>
      </c>
      <c r="AB55" s="9">
        <f t="shared" si="29"/>
        <v>1000000</v>
      </c>
    </row>
    <row r="56" spans="1:28">
      <c r="A56" s="30" t="s">
        <v>704</v>
      </c>
      <c r="B56" s="77">
        <v>2.47105</v>
      </c>
      <c r="C56" s="35">
        <v>1</v>
      </c>
      <c r="D56" s="1">
        <f>1/C57</f>
        <v>2.4710500000000001E-4</v>
      </c>
      <c r="M56" s="9"/>
      <c r="N56" s="1" t="s">
        <v>705</v>
      </c>
      <c r="O56" s="1">
        <v>0.2</v>
      </c>
      <c r="P56" s="1">
        <v>0.05</v>
      </c>
      <c r="Q56" s="1">
        <v>0.5</v>
      </c>
      <c r="R56" s="1" t="s">
        <v>706</v>
      </c>
      <c r="AA56" s="1" t="s">
        <v>707</v>
      </c>
      <c r="AB56" s="9">
        <f t="shared" si="29"/>
        <v>1</v>
      </c>
    </row>
    <row r="57" spans="1:28">
      <c r="A57" s="1" t="s">
        <v>708</v>
      </c>
      <c r="B57" s="82">
        <v>10000</v>
      </c>
      <c r="C57" s="1">
        <f>C55*B57</f>
        <v>4046.8626697153031</v>
      </c>
      <c r="D57" s="1">
        <v>1</v>
      </c>
      <c r="N57" s="12" t="s">
        <v>709</v>
      </c>
      <c r="O57" s="1">
        <v>0.01</v>
      </c>
      <c r="P57" s="144">
        <v>2E-3</v>
      </c>
      <c r="Q57" s="144">
        <v>0.05</v>
      </c>
      <c r="R57" s="1" t="s">
        <v>710</v>
      </c>
      <c r="S57" s="146" t="s">
        <v>702</v>
      </c>
      <c r="AA57" s="1" t="s">
        <v>711</v>
      </c>
      <c r="AB57" s="9">
        <f t="shared" si="29"/>
        <v>393.01477794769556</v>
      </c>
    </row>
    <row r="58" spans="1:28">
      <c r="M58" s="1" t="s">
        <v>712</v>
      </c>
      <c r="N58" s="12" t="s">
        <v>713</v>
      </c>
      <c r="O58" s="1">
        <v>0.3</v>
      </c>
      <c r="P58" s="144">
        <v>0.1</v>
      </c>
      <c r="Q58" s="144">
        <v>0.8</v>
      </c>
      <c r="R58" s="1" t="s">
        <v>701</v>
      </c>
      <c r="S58" s="146" t="s">
        <v>702</v>
      </c>
      <c r="AA58" s="1" t="s">
        <v>714</v>
      </c>
      <c r="AB58" s="9">
        <f t="shared" ref="AB58:AB65" si="30">I23</f>
        <v>2684519.5376862194</v>
      </c>
    </row>
    <row r="59" spans="1:28">
      <c r="M59" s="1" t="s">
        <v>715</v>
      </c>
      <c r="N59" s="27" t="s">
        <v>716</v>
      </c>
      <c r="O59" s="67">
        <v>7.4999999999999997E-3</v>
      </c>
      <c r="P59" s="147">
        <v>5.0000000000000001E-4</v>
      </c>
      <c r="Q59" s="147">
        <v>2.5000000000000001E-2</v>
      </c>
      <c r="R59" s="67" t="s">
        <v>696</v>
      </c>
      <c r="S59" s="146" t="s">
        <v>702</v>
      </c>
      <c r="AA59" s="1" t="s">
        <v>717</v>
      </c>
      <c r="AB59" s="9">
        <f t="shared" si="30"/>
        <v>2684.5195376862198</v>
      </c>
    </row>
    <row r="60" spans="1:28">
      <c r="N60" s="64" t="s">
        <v>718</v>
      </c>
      <c r="O60" s="47">
        <v>0.21</v>
      </c>
      <c r="P60" s="47">
        <v>0</v>
      </c>
      <c r="Q60" s="47">
        <v>0.31</v>
      </c>
      <c r="R60" s="47" t="s">
        <v>706</v>
      </c>
      <c r="S60" s="19"/>
      <c r="AA60" s="1" t="s">
        <v>719</v>
      </c>
      <c r="AB60" s="9">
        <f t="shared" si="30"/>
        <v>2.6845195376862194</v>
      </c>
    </row>
    <row r="61" spans="1:28">
      <c r="N61" s="69" t="s">
        <v>720</v>
      </c>
      <c r="O61" s="1">
        <v>0.24</v>
      </c>
      <c r="P61" s="1">
        <v>0.1</v>
      </c>
      <c r="Q61" s="1">
        <v>0.8</v>
      </c>
      <c r="R61" s="1" t="s">
        <v>706</v>
      </c>
      <c r="S61" s="78" t="s">
        <v>721</v>
      </c>
      <c r="AA61" s="1" t="s">
        <v>722</v>
      </c>
      <c r="AB61" s="9">
        <f t="shared" si="30"/>
        <v>745.69987157950538</v>
      </c>
    </row>
    <row r="62" spans="1:28">
      <c r="A62" s="73" t="s">
        <v>723</v>
      </c>
      <c r="B62" s="79"/>
      <c r="C62" s="75"/>
      <c r="N62" s="69" t="s">
        <v>724</v>
      </c>
      <c r="O62" s="1">
        <v>0.15</v>
      </c>
      <c r="P62" s="1">
        <v>0.03</v>
      </c>
      <c r="Q62" s="1">
        <v>0.43</v>
      </c>
      <c r="R62" s="1" t="s">
        <v>706</v>
      </c>
      <c r="S62" s="16" t="s">
        <v>725</v>
      </c>
      <c r="AA62" s="1" t="s">
        <v>726</v>
      </c>
      <c r="AB62" s="9">
        <f t="shared" si="30"/>
        <v>0.74569987157950535</v>
      </c>
    </row>
    <row r="63" spans="1:28">
      <c r="A63" s="80" t="s">
        <v>727</v>
      </c>
      <c r="B63" s="79" t="s">
        <v>728</v>
      </c>
      <c r="C63" s="75"/>
      <c r="N63" s="69" t="s">
        <v>729</v>
      </c>
      <c r="O63" s="1">
        <v>0.08</v>
      </c>
      <c r="P63" s="1">
        <v>0.02</v>
      </c>
      <c r="Q63" s="1">
        <v>0.3</v>
      </c>
      <c r="R63" s="1" t="s">
        <v>706</v>
      </c>
      <c r="S63" s="16" t="s">
        <v>730</v>
      </c>
      <c r="AA63" s="1" t="s">
        <v>731</v>
      </c>
      <c r="AB63" s="9">
        <f t="shared" si="30"/>
        <v>2544.4335839531336</v>
      </c>
    </row>
    <row r="64" spans="1:28">
      <c r="A64" s="69" t="s">
        <v>732</v>
      </c>
      <c r="B64" s="1">
        <v>1155.9000000000001</v>
      </c>
      <c r="C64" s="16" t="s">
        <v>733</v>
      </c>
      <c r="N64" s="69" t="s">
        <v>734</v>
      </c>
      <c r="O64" s="1">
        <v>0.01</v>
      </c>
      <c r="P64" s="1">
        <v>0</v>
      </c>
      <c r="Q64" s="1">
        <v>0.02</v>
      </c>
      <c r="R64" s="1" t="s">
        <v>706</v>
      </c>
      <c r="S64" s="16" t="s">
        <v>735</v>
      </c>
      <c r="AA64" s="1" t="s">
        <v>736</v>
      </c>
      <c r="AB64" s="9">
        <f t="shared" si="30"/>
        <v>2.5444335839531337E-3</v>
      </c>
    </row>
    <row r="65" spans="1:28">
      <c r="A65" s="69" t="s">
        <v>737</v>
      </c>
      <c r="B65" s="1">
        <v>1163.9000000000001</v>
      </c>
      <c r="C65" s="16" t="s">
        <v>738</v>
      </c>
      <c r="F65" s="9"/>
      <c r="G65" s="9"/>
      <c r="H65" s="9"/>
      <c r="I65" s="9"/>
      <c r="J65" s="9"/>
      <c r="K65" s="9"/>
      <c r="L65" s="9"/>
      <c r="N65" s="68" t="s">
        <v>739</v>
      </c>
      <c r="O65" s="67">
        <v>0.05</v>
      </c>
      <c r="P65" s="67">
        <v>0</v>
      </c>
      <c r="Q65" s="67">
        <v>0.2</v>
      </c>
      <c r="R65" s="67" t="s">
        <v>706</v>
      </c>
      <c r="S65" s="35" t="s">
        <v>740</v>
      </c>
      <c r="AA65" s="1" t="s">
        <v>741</v>
      </c>
      <c r="AB65" s="9">
        <f t="shared" si="30"/>
        <v>1</v>
      </c>
    </row>
    <row r="66" spans="1:28">
      <c r="A66" s="69" t="s">
        <v>742</v>
      </c>
      <c r="B66" s="1">
        <v>1196</v>
      </c>
      <c r="C66" s="16" t="s">
        <v>743</v>
      </c>
      <c r="N66" s="1" t="s">
        <v>744</v>
      </c>
      <c r="O66" s="1">
        <f>Q66</f>
        <v>0.12</v>
      </c>
      <c r="P66" s="1">
        <f>Q66*0.5</f>
        <v>0.06</v>
      </c>
      <c r="Q66" s="1">
        <v>0.12</v>
      </c>
      <c r="R66" s="1" t="s">
        <v>745</v>
      </c>
      <c r="S66" s="1" t="s">
        <v>746</v>
      </c>
      <c r="AA66" s="1" t="s">
        <v>747</v>
      </c>
      <c r="AB66" s="9">
        <f>K23</f>
        <v>1055055850</v>
      </c>
    </row>
    <row r="67" spans="1:28">
      <c r="A67" s="69" t="s">
        <v>748</v>
      </c>
      <c r="B67" s="1">
        <v>1196.9000000000001</v>
      </c>
      <c r="C67" s="16" t="s">
        <v>749</v>
      </c>
      <c r="N67" s="1" t="s">
        <v>750</v>
      </c>
      <c r="O67" s="1">
        <f>Q67</f>
        <v>0.2</v>
      </c>
      <c r="P67" s="1">
        <f>Q67*0.5</f>
        <v>0.1</v>
      </c>
      <c r="Q67" s="1">
        <v>0.2</v>
      </c>
      <c r="R67" s="1" t="s">
        <v>751</v>
      </c>
      <c r="AA67" s="1" t="s">
        <v>752</v>
      </c>
      <c r="AB67" s="9">
        <f t="shared" ref="AB67:AB75" si="31">K24</f>
        <v>1055055.8500000001</v>
      </c>
    </row>
    <row r="68" spans="1:28">
      <c r="A68" s="69" t="s">
        <v>753</v>
      </c>
      <c r="B68" s="1">
        <v>1198.0999999999999</v>
      </c>
      <c r="C68" s="16" t="s">
        <v>754</v>
      </c>
      <c r="AA68" s="1" t="s">
        <v>755</v>
      </c>
      <c r="AB68" s="9">
        <f t="shared" si="31"/>
        <v>1055.05585</v>
      </c>
    </row>
    <row r="69" spans="1:28">
      <c r="A69" s="69" t="s">
        <v>756</v>
      </c>
      <c r="B69" s="1">
        <v>1198.4000000000001</v>
      </c>
      <c r="C69" s="16" t="s">
        <v>757</v>
      </c>
      <c r="AA69" s="1" t="s">
        <v>758</v>
      </c>
      <c r="AB69" s="9">
        <f t="shared" si="31"/>
        <v>293071.06944444444</v>
      </c>
    </row>
    <row r="70" spans="1:28">
      <c r="A70" s="68" t="s">
        <v>759</v>
      </c>
      <c r="B70" s="1">
        <v>1199.7</v>
      </c>
      <c r="C70" s="16" t="s">
        <v>760</v>
      </c>
      <c r="AA70" s="1" t="s">
        <v>761</v>
      </c>
      <c r="AB70" s="9">
        <f t="shared" si="31"/>
        <v>293.07106944444445</v>
      </c>
    </row>
    <row r="71" spans="1:28">
      <c r="A71" s="27" t="s">
        <v>762</v>
      </c>
      <c r="B71" s="67"/>
      <c r="C71" s="35"/>
      <c r="AA71" s="1" t="s">
        <v>763</v>
      </c>
      <c r="AB71" s="9">
        <f t="shared" si="31"/>
        <v>1000000</v>
      </c>
    </row>
    <row r="72" spans="1:28">
      <c r="AA72" s="1" t="s">
        <v>764</v>
      </c>
      <c r="AB72" s="9">
        <f t="shared" si="31"/>
        <v>1</v>
      </c>
    </row>
    <row r="73" spans="1:28">
      <c r="AA73" s="1" t="s">
        <v>765</v>
      </c>
      <c r="AB73" s="9">
        <f t="shared" si="31"/>
        <v>393.01477794769556</v>
      </c>
    </row>
    <row r="74" spans="1:28">
      <c r="AA74" s="1" t="s">
        <v>766</v>
      </c>
      <c r="AB74" s="9">
        <f t="shared" si="31"/>
        <v>10</v>
      </c>
    </row>
    <row r="75" spans="1:28">
      <c r="A75" s="73" t="s">
        <v>767</v>
      </c>
      <c r="B75" s="79"/>
      <c r="C75" s="79"/>
      <c r="D75" s="79"/>
      <c r="E75" s="75"/>
      <c r="AA75" s="1" t="s">
        <v>768</v>
      </c>
      <c r="AB75" s="9">
        <f t="shared" si="31"/>
        <v>1</v>
      </c>
    </row>
    <row r="76" spans="1:28">
      <c r="A76" s="244" t="s">
        <v>769</v>
      </c>
      <c r="B76" s="79" t="s">
        <v>770</v>
      </c>
      <c r="C76" s="79"/>
      <c r="D76" s="79" t="s">
        <v>771</v>
      </c>
      <c r="E76" s="75" t="s">
        <v>772</v>
      </c>
      <c r="AA76" s="1" t="s">
        <v>773</v>
      </c>
      <c r="AB76" s="9">
        <f>J23</f>
        <v>105505585</v>
      </c>
    </row>
    <row r="77" spans="1:28" ht="15.75">
      <c r="A77" s="148" t="s">
        <v>774</v>
      </c>
      <c r="B77" s="241">
        <v>9.8000000000000004E-2</v>
      </c>
      <c r="C77" s="1" t="s">
        <v>775</v>
      </c>
      <c r="D77" s="242">
        <v>0.15</v>
      </c>
      <c r="E77" s="16"/>
      <c r="AA77" s="1" t="s">
        <v>776</v>
      </c>
      <c r="AB77" s="9">
        <f t="shared" ref="AB77:AB85" si="32">J24</f>
        <v>105505.58500000001</v>
      </c>
    </row>
    <row r="78" spans="1:28" ht="15.75">
      <c r="A78" s="148" t="s">
        <v>777</v>
      </c>
      <c r="B78" s="242">
        <v>0.1</v>
      </c>
      <c r="C78" s="1" t="s">
        <v>778</v>
      </c>
      <c r="D78" s="242">
        <v>0.65</v>
      </c>
      <c r="E78" s="16"/>
      <c r="Q78" s="1">
        <v>0.82244699515927877</v>
      </c>
      <c r="AA78" s="1" t="s">
        <v>779</v>
      </c>
      <c r="AB78" s="9">
        <f t="shared" si="32"/>
        <v>105.505585</v>
      </c>
    </row>
    <row r="79" spans="1:28" ht="15.75">
      <c r="A79" s="148" t="s">
        <v>780</v>
      </c>
      <c r="B79" s="242">
        <v>0.12</v>
      </c>
      <c r="C79" s="1" t="s">
        <v>781</v>
      </c>
      <c r="D79" s="242">
        <v>0.22</v>
      </c>
      <c r="E79" s="16"/>
      <c r="AA79" s="1" t="s">
        <v>782</v>
      </c>
      <c r="AB79" s="9">
        <f t="shared" si="32"/>
        <v>29307.106944444444</v>
      </c>
    </row>
    <row r="80" spans="1:28" ht="15.75">
      <c r="A80" s="148" t="s">
        <v>783</v>
      </c>
      <c r="B80" s="241">
        <v>0.53500000000000003</v>
      </c>
      <c r="C80" s="1" t="s">
        <v>784</v>
      </c>
      <c r="D80" s="241">
        <v>0.187</v>
      </c>
      <c r="E80" s="16"/>
      <c r="AA80" s="1" t="s">
        <v>785</v>
      </c>
      <c r="AB80" s="9">
        <f t="shared" si="32"/>
        <v>29.307106944444445</v>
      </c>
    </row>
    <row r="81" spans="1:28" ht="15.75">
      <c r="A81" s="148" t="s">
        <v>786</v>
      </c>
      <c r="E81" s="81">
        <v>0.47499999999999998</v>
      </c>
      <c r="AA81" s="1" t="s">
        <v>787</v>
      </c>
      <c r="AB81" s="9">
        <f t="shared" si="32"/>
        <v>100000</v>
      </c>
    </row>
    <row r="82" spans="1:28" ht="15.75">
      <c r="A82" s="148" t="s">
        <v>788</v>
      </c>
      <c r="B82" s="242">
        <v>0.12</v>
      </c>
      <c r="D82" s="242">
        <v>0.22</v>
      </c>
      <c r="E82" s="16"/>
      <c r="AA82" s="1" t="s">
        <v>789</v>
      </c>
      <c r="AB82" s="9">
        <f t="shared" si="32"/>
        <v>0.1</v>
      </c>
    </row>
    <row r="83" spans="1:28" ht="15.75">
      <c r="A83" s="243" t="s">
        <v>790</v>
      </c>
      <c r="B83" s="67"/>
      <c r="C83" s="67"/>
      <c r="D83" s="67"/>
      <c r="E83" s="35"/>
      <c r="AA83" s="1" t="s">
        <v>791</v>
      </c>
      <c r="AB83" s="9">
        <f t="shared" si="32"/>
        <v>39.301477794769553</v>
      </c>
    </row>
    <row r="84" spans="1:28">
      <c r="AA84" s="1" t="s">
        <v>792</v>
      </c>
      <c r="AB84" s="9">
        <f t="shared" si="32"/>
        <v>1</v>
      </c>
    </row>
    <row r="85" spans="1:28">
      <c r="AA85" s="1" t="s">
        <v>793</v>
      </c>
      <c r="AB85" s="9">
        <f t="shared" si="32"/>
        <v>0.1</v>
      </c>
    </row>
    <row r="86" spans="1:28">
      <c r="AA86" s="1" t="s">
        <v>794</v>
      </c>
      <c r="AB86" s="9">
        <f>B32</f>
        <v>9.4781712266701324E-10</v>
      </c>
    </row>
    <row r="87" spans="1:28" ht="15.75">
      <c r="B87" s="137"/>
      <c r="AA87" s="1" t="s">
        <v>795</v>
      </c>
      <c r="AB87" s="9">
        <f>C32</f>
        <v>9.4781712266701337E-7</v>
      </c>
    </row>
    <row r="88" spans="1:28" ht="15.75">
      <c r="A88" s="137" t="s">
        <v>796</v>
      </c>
      <c r="B88" s="137">
        <v>2</v>
      </c>
      <c r="C88" s="137" t="s">
        <v>797</v>
      </c>
      <c r="D88" s="137"/>
      <c r="AA88" s="1" t="s">
        <v>798</v>
      </c>
      <c r="AB88" s="9">
        <f>D32</f>
        <v>9.4781712266701326E-4</v>
      </c>
    </row>
    <row r="89" spans="1:28" ht="15.75">
      <c r="B89" s="149" t="s">
        <v>799</v>
      </c>
      <c r="AA89" s="1" t="s">
        <v>800</v>
      </c>
      <c r="AB89" s="9">
        <f>E32</f>
        <v>3.4121416416012482E-6</v>
      </c>
    </row>
    <row r="90" spans="1:28">
      <c r="AA90" s="1" t="s">
        <v>801</v>
      </c>
      <c r="AB90" s="9">
        <f>F32</f>
        <v>3.4121416416012479E-3</v>
      </c>
    </row>
    <row r="91" spans="1:28">
      <c r="AA91" s="1" t="s">
        <v>802</v>
      </c>
      <c r="AB91" s="9">
        <f>G32</f>
        <v>9.9999999999999995E-7</v>
      </c>
    </row>
    <row r="92" spans="1:28">
      <c r="AA92" s="1" t="s">
        <v>803</v>
      </c>
      <c r="AB92" s="82">
        <f>H32</f>
        <v>1</v>
      </c>
    </row>
    <row r="93" spans="1:28">
      <c r="AA93" s="1" t="s">
        <v>804</v>
      </c>
      <c r="AB93" s="1">
        <f>I32</f>
        <v>2.5444335839531337E-3</v>
      </c>
    </row>
    <row r="94" spans="1:28">
      <c r="AA94" s="1" t="s">
        <v>793</v>
      </c>
      <c r="AB94" s="83">
        <f>J32</f>
        <v>0.1</v>
      </c>
    </row>
    <row r="95" spans="1:28">
      <c r="AA95" s="1" t="s">
        <v>768</v>
      </c>
      <c r="AB95" s="1">
        <f>K32</f>
        <v>1</v>
      </c>
    </row>
    <row r="96" spans="1:28">
      <c r="AA96" s="1" t="s">
        <v>805</v>
      </c>
      <c r="AB96" s="9">
        <f>B31</f>
        <v>9.4781712266701316E-9</v>
      </c>
    </row>
    <row r="97" spans="27:28">
      <c r="AA97" s="1" t="s">
        <v>806</v>
      </c>
      <c r="AB97" s="9">
        <f>C31</f>
        <v>9.4781712266701341E-6</v>
      </c>
    </row>
    <row r="98" spans="27:28">
      <c r="AA98" s="1" t="s">
        <v>807</v>
      </c>
      <c r="AB98" s="9">
        <f>D31</f>
        <v>9.4781712266701328E-3</v>
      </c>
    </row>
    <row r="99" spans="27:28">
      <c r="AA99" s="1" t="s">
        <v>808</v>
      </c>
      <c r="AB99" s="9">
        <f>E31</f>
        <v>3.4121416416012479E-5</v>
      </c>
    </row>
    <row r="100" spans="27:28">
      <c r="AA100" s="1" t="s">
        <v>809</v>
      </c>
      <c r="AB100" s="9">
        <f>F31</f>
        <v>3.4121416416012476E-2</v>
      </c>
    </row>
    <row r="101" spans="27:28">
      <c r="AA101" s="1" t="s">
        <v>810</v>
      </c>
      <c r="AB101" s="9">
        <f>G31</f>
        <v>9.9999999999999991E-6</v>
      </c>
    </row>
    <row r="102" spans="27:28">
      <c r="AA102" s="1" t="s">
        <v>811</v>
      </c>
      <c r="AB102" s="84">
        <f>H31</f>
        <v>10</v>
      </c>
    </row>
    <row r="103" spans="27:28">
      <c r="AA103" s="1" t="s">
        <v>812</v>
      </c>
      <c r="AB103" s="9">
        <f>I31</f>
        <v>2.5444335839531339E-2</v>
      </c>
    </row>
    <row r="104" spans="27:28">
      <c r="AA104" s="1" t="s">
        <v>792</v>
      </c>
      <c r="AB104" s="85">
        <f>J31</f>
        <v>1</v>
      </c>
    </row>
    <row r="105" spans="27:28">
      <c r="AA105" s="1" t="s">
        <v>766</v>
      </c>
      <c r="AB105" s="1">
        <f>K31</f>
        <v>10</v>
      </c>
    </row>
    <row r="106" spans="27:28" ht="15.75">
      <c r="AA106" s="137" t="s">
        <v>813</v>
      </c>
      <c r="AB106" s="137">
        <f t="shared" ref="AB106:AB115" si="33">L23</f>
        <v>4186.8</v>
      </c>
    </row>
    <row r="107" spans="27:28" ht="15.75">
      <c r="AA107" s="137" t="s">
        <v>814</v>
      </c>
      <c r="AB107" s="137">
        <f t="shared" si="33"/>
        <v>4.1867999999999999</v>
      </c>
    </row>
    <row r="108" spans="27:28" ht="15.75">
      <c r="AA108" s="137" t="s">
        <v>815</v>
      </c>
      <c r="AB108" s="137">
        <f t="shared" si="33"/>
        <v>4.1868000000000001E-3</v>
      </c>
    </row>
    <row r="109" spans="27:28" ht="15.75">
      <c r="AA109" s="137" t="s">
        <v>816</v>
      </c>
      <c r="AB109" s="150">
        <f>L26</f>
        <v>1.163</v>
      </c>
    </row>
    <row r="110" spans="27:28" ht="15.75">
      <c r="AA110" s="137" t="s">
        <v>817</v>
      </c>
      <c r="AB110" s="137">
        <f t="shared" si="33"/>
        <v>1.163E-3</v>
      </c>
    </row>
    <row r="111" spans="27:28" ht="15.75">
      <c r="AA111" s="137" t="s">
        <v>818</v>
      </c>
      <c r="AB111" s="137">
        <f t="shared" si="33"/>
        <v>3.9683207291822518</v>
      </c>
    </row>
    <row r="112" spans="27:28" ht="15.75">
      <c r="AA112" s="137" t="s">
        <v>819</v>
      </c>
      <c r="AB112" s="137">
        <f t="shared" si="33"/>
        <v>3.9683207291822509E-6</v>
      </c>
    </row>
    <row r="113" spans="27:28" ht="15.75">
      <c r="AA113" s="137" t="s">
        <v>820</v>
      </c>
      <c r="AB113" s="137">
        <f t="shared" si="33"/>
        <v>1.5596086902048001E-3</v>
      </c>
    </row>
    <row r="114" spans="27:28" ht="15.75">
      <c r="AA114" s="137" t="s">
        <v>821</v>
      </c>
      <c r="AB114" s="137">
        <f t="shared" si="33"/>
        <v>3.9683207291822507E-5</v>
      </c>
    </row>
    <row r="115" spans="27:28" ht="15.75">
      <c r="AA115" s="137" t="s">
        <v>822</v>
      </c>
      <c r="AB115" s="137">
        <f t="shared" si="33"/>
        <v>3.9683207291822509E-6</v>
      </c>
    </row>
    <row r="116" spans="27:28" ht="15.75">
      <c r="AA116" s="137" t="s">
        <v>823</v>
      </c>
      <c r="AB116" s="137">
        <f>B33</f>
        <v>2.3884589662749592E-4</v>
      </c>
    </row>
    <row r="117" spans="27:28" ht="15.75">
      <c r="AA117" s="137" t="s">
        <v>824</v>
      </c>
      <c r="AB117" s="137">
        <f>C33</f>
        <v>0.23884589662749595</v>
      </c>
    </row>
    <row r="118" spans="27:28" ht="15.75">
      <c r="AA118" s="137" t="s">
        <v>825</v>
      </c>
      <c r="AB118" s="137">
        <f>D33</f>
        <v>238.84589662749593</v>
      </c>
    </row>
    <row r="119" spans="27:28" ht="15.75">
      <c r="AA119" s="137" t="s">
        <v>826</v>
      </c>
      <c r="AB119" s="137">
        <f>E33</f>
        <v>0.85984522785898532</v>
      </c>
    </row>
    <row r="120" spans="27:28" ht="15.75">
      <c r="AA120" s="137" t="s">
        <v>827</v>
      </c>
      <c r="AB120" s="137">
        <f>F33</f>
        <v>859.84522785898537</v>
      </c>
    </row>
    <row r="121" spans="27:28" ht="15.75">
      <c r="AA121" s="137" t="s">
        <v>828</v>
      </c>
      <c r="AB121" s="137">
        <f>G33</f>
        <v>0.25199576048533484</v>
      </c>
    </row>
    <row r="122" spans="27:28" ht="15.75">
      <c r="AA122" s="137" t="s">
        <v>829</v>
      </c>
      <c r="AB122" s="137">
        <f>H33</f>
        <v>251995.7604853349</v>
      </c>
    </row>
    <row r="123" spans="27:28" ht="15.75">
      <c r="AA123" s="137" t="s">
        <v>830</v>
      </c>
      <c r="AB123" s="137">
        <f>I33</f>
        <v>641.18647599269593</v>
      </c>
    </row>
    <row r="124" spans="27:28" ht="15.75">
      <c r="AA124" s="137" t="s">
        <v>831</v>
      </c>
      <c r="AB124" s="137">
        <f>J33</f>
        <v>25199.57604853349</v>
      </c>
    </row>
    <row r="125" spans="27:28" ht="15.75">
      <c r="AA125" s="137" t="s">
        <v>832</v>
      </c>
      <c r="AB125" s="137">
        <f>K33</f>
        <v>251995.7604853349</v>
      </c>
    </row>
  </sheetData>
  <sheetProtection sheet="1" objects="1" scenarios="1"/>
  <pageMargins left="0.7" right="0.7" top="0.75" bottom="0.75" header="0.3" footer="0.3"/>
  <pageSetup orientation="portrait" horizontalDpi="0" verticalDpi="0"/>
  <legacyDrawing r:id="rId1"/>
  <pictur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177671-c5b1-4a36-9495-663f9f18e56c" xsi:nil="true"/>
    <lcf76f155ced4ddcb4097134ff3c332f xmlns="57c019b9-1f91-4bda-b992-07cd955143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61D98692BCE2468F1E72BCCEC4CFC1" ma:contentTypeVersion="16" ma:contentTypeDescription="Create a new document." ma:contentTypeScope="" ma:versionID="e2310063c1f661ce7948565f60358f7a">
  <xsd:schema xmlns:xsd="http://www.w3.org/2001/XMLSchema" xmlns:xs="http://www.w3.org/2001/XMLSchema" xmlns:p="http://schemas.microsoft.com/office/2006/metadata/properties" xmlns:ns2="57c019b9-1f91-4bda-b992-07cd955143c1" xmlns:ns3="e2177671-c5b1-4a36-9495-663f9f18e56c" targetNamespace="http://schemas.microsoft.com/office/2006/metadata/properties" ma:root="true" ma:fieldsID="910fe397616399b27f577bd5a7a7c51b" ns2:_="" ns3:_="">
    <xsd:import namespace="57c019b9-1f91-4bda-b992-07cd955143c1"/>
    <xsd:import namespace="e2177671-c5b1-4a36-9495-663f9f18e5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c019b9-1f91-4bda-b992-07cd955143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8622ed8-ae52-4f64-9e44-83bf197e68d9"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177671-c5b1-4a36-9495-663f9f18e56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20bdd27-dce7-44a5-8c95-2650ea13116d}" ma:internalName="TaxCatchAll" ma:showField="CatchAllData" ma:web="e2177671-c5b1-4a36-9495-663f9f18e56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c 0 e 1 4 e b f - 6 8 5 c - 4 2 0 e - a c f 1 - 7 7 0 3 7 d f 7 1 b f c "   x m l n s = " h t t p : / / s c h e m a s . m i c r o s o f t . c o m / D a t a M a s h u p " > A A A A A H o E A A B Q S w M E F A A C A A g A 2 W Z 0 V 2 h E l I y j A A A A 9 g A A A B I A H A B D b 2 5 m a W c v U G F j a 2 F n Z S 5 4 b W w g o h g A K K A U A A A A A A A A A A A A A A A A A A A A A A A A A A A A h Y + x D o I w F E V / h X S n h e p g y K M M r p K Y E I 1 r U y o 0 w s P Q Y v k 3 B z / J X x C j q J v j P f c M 9 9 6 v N 8 j G t g k u u r e m w 5 T E N C K B R t W V B q u U D O 4 Y r k g m Y C v V S V Y 6 m G S 0 y W j L l N T O n R P G v P f U L 2 j X V 4 x H U c w O + a Z Q t W 4 l + c j m v x w a t E 6 i 0 k T A / j V G c B p z T v m S 0 w j Y D C E 3 + B X 4 t P f Z / k B Y D 4 0 b e i 0 0 h r s C 2 B y B v T + I B 1 B L A w Q U A A I A C A D Z Z n R 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2 W Z 0 V + Q B 0 9 1 1 A Q A A c w Q A A B M A H A B G b 3 J t d W x h c y 9 T Z W N 0 a W 9 u M S 5 t I K I Y A C i g F A A A A A A A A A A A A A A A A A A A A A A A A A A A A H W T T W + C Q B C G 7 y T + h w 1 e N K E g a P 2 I 6 a H B N j F t 2 g M 0 P R g P C 4 6 w c d l t d h c j M f 7 3 g n i o D X M i + z z Z 2 X l n g o b U M C l I 1 H 7 9 Z c / q W T q n C n a k b z + X R p J 3 l i i q K p s 8 E Q 7 G I i S S p U q h P r 6 c U u D u t 1 S H R M r D 4 J V x c E M p D A i j B 7 b 3 p U F p L 1 G V k c K 7 V f F C L s t d Z K S i G X i f A l a K H e E B q D K 5 z t n e Z F w m l L u p L L x Y S u 6 F l K c l p / U F s q K G J l S D e + L 6 Z A 8 d I k r O H W J U C U O n 7 q t v f 9 A j y + g 1 k N / 0 2 3 Z 6 3 q w N F P X x P o 9 D 3 p j Y N T j K A Y y 9 v W y a F 7 Z t q T C n I q u H k E p e F o K Y 6 g e a i j F N 6 p C x o k L v p S r C q 4 1 r q Q f / n n f I + W y 3 v j k 0 B Q g V 1 a X m N x x 0 4 3 E 3 n n T j x 2 4 8 7 c a z b j z v x o t u 7 I 8 Q j u T 0 k a A + k t R H o v p N 1 r U w 0 4 n b T P y v m a J m h p o 5 a h a Y C U a o 8 V E T o G a M m g l q 0 B k E 6 A w C d A Y B s v g A 2 f w Y 2 f z 4 b v O X o c U E + h M t f w F Q S w E C L Q A U A A I A C A D Z Z n R X a E S U j K M A A A D 2 A A A A E g A A A A A A A A A A A A A A A A A A A A A A Q 2 9 u Z m l n L 1 B h Y 2 t h Z 2 U u e G 1 s U E s B A i 0 A F A A C A A g A 2 W Z 0 V w / K 6 a u k A A A A 6 Q A A A B M A A A A A A A A A A A A A A A A A 7 w A A A F t D b 2 5 0 Z W 5 0 X 1 R 5 c G V z X S 5 4 b W x Q S w E C L Q A U A A I A C A D Z Z n R X 5 A H T 3 X U B A A B z B A A A E w A A A A A A A A A A A A A A A A D g A Q A A R m 9 y b X V s Y X M v U 2 V j d G l v b j E u b V B L B Q Y A A A A A A w A D A M I A A A C i 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G g A A A A A A A M 8 a 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d X R v J T I w T G l i c m F y 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y M S I g L z 4 8 R W 5 0 c n k g V H l w Z T 0 i R m l s b E V y c m 9 y Q 2 9 k Z S I g V m F s d W U 9 I n N V b m t u b 3 d u I i A v P j x F b n R y e S B U e X B l P S J G a W x s R X J y b 3 J D b 3 V u d C I g V m F s d W U 9 I m w w I i A v P j x F b n R y e S B U e X B l P S J G a W x s T G F z d F V w Z G F 0 Z W Q i I F Z h b H V l P S J k M j A y M i 0 w N i 0 w O V Q y M j o w M D o w M i 4 0 N T A 5 N j Q w W i I g L z 4 8 R W 5 0 c n k g V H l w Z T 0 i R m l s b E N v b H V t b l R 5 c G V z I i B W Y W x 1 Z T 0 i c 0 F B Q U F B Q U F B Q U F B Q U F B Q U F B Q U F E Q X d N R E F 3 T U R B d 0 1 E Q X d N R E F B Q U F B Q 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X S I g L z 4 8 R W 5 0 c n k g V H l w Z T 0 i R m l s b F N 0 Y X R 1 c y I g V m F s d W U 9 I n N D b 2 1 w b G V 0 Z S I g L z 4 8 R W 5 0 c n k g V H l w Z T 0 i U m V s Y X R p b 2 5 z a G l w S W 5 m b 0 N v b n R h a W 5 l c i I g V m F s d W U 9 I n N 7 J n F 1 b 3 Q 7 Y 2 9 s d W 1 u Q 2 9 1 b n Q m c X V v d D s 6 M z E s J n F 1 b 3 Q 7 a 2 V 5 Q 2 9 s d W 1 u T m F t Z X M m c X V v d D s 6 W 1 0 s J n F 1 b 3 Q 7 c X V l c n l S Z W x h d G l v b n N o a X B z J n F 1 b 3 Q 7 O l t d L C Z x d W 9 0 O 2 N v b H V t b k l k Z W 5 0 a X R p Z X M m c X V v d D s 6 W y Z x d W 9 0 O 1 N l Y 3 R p b 2 4 x L 0 F 1 d G 8 g T G l i c m F y e S 9 B d X R v U m V t b 3 Z l Z E N v b H V t b n M x L n t D b 2 x 1 b W 4 x L D B 9 J n F 1 b 3 Q 7 L C Z x d W 9 0 O 1 N l Y 3 R p b 2 4 x L 0 F 1 d G 8 g T G l i c m F y e S 9 B d X R v U m V t b 3 Z l Z E N v b H V t b n M x L n t D b 2 x 1 b W 4 y L D F 9 J n F 1 b 3 Q 7 L C Z x d W 9 0 O 1 N l Y 3 R p b 2 4 x L 0 F 1 d G 8 g T G l i c m F y e S 9 B d X R v U m V t b 3 Z l Z E N v b H V t b n M x L n t D b 2 x 1 b W 4 z L D J 9 J n F 1 b 3 Q 7 L C Z x d W 9 0 O 1 N l Y 3 R p b 2 4 x L 0 F 1 d G 8 g T G l i c m F y e S 9 B d X R v U m V t b 3 Z l Z E N v b H V t b n M x L n t D b 2 x 1 b W 4 0 L D N 9 J n F 1 b 3 Q 7 L C Z x d W 9 0 O 1 N l Y 3 R p b 2 4 x L 0 F 1 d G 8 g T G l i c m F y e S 9 B d X R v U m V t b 3 Z l Z E N v b H V t b n M x L n t D b 2 x 1 b W 4 1 L D R 9 J n F 1 b 3 Q 7 L C Z x d W 9 0 O 1 N l Y 3 R p b 2 4 x L 0 F 1 d G 8 g T G l i c m F y e S 9 B d X R v U m V t b 3 Z l Z E N v b H V t b n M x L n t D b 2 x 1 b W 4 2 L D V 9 J n F 1 b 3 Q 7 L C Z x d W 9 0 O 1 N l Y 3 R p b 2 4 x L 0 F 1 d G 8 g T G l i c m F y e S 9 B d X R v U m V t b 3 Z l Z E N v b H V t b n M x L n t D b 2 x 1 b W 4 3 L D Z 9 J n F 1 b 3 Q 7 L C Z x d W 9 0 O 1 N l Y 3 R p b 2 4 x L 0 F 1 d G 8 g T G l i c m F y e S 9 B d X R v U m V t b 3 Z l Z E N v b H V t b n M x L n t D b 2 x 1 b W 4 4 L D d 9 J n F 1 b 3 Q 7 L C Z x d W 9 0 O 1 N l Y 3 R p b 2 4 x L 0 F 1 d G 8 g T G l i c m F y e S 9 B d X R v U m V t b 3 Z l Z E N v b H V t b n M x L n t D b 2 x 1 b W 4 5 L D h 9 J n F 1 b 3 Q 7 L C Z x d W 9 0 O 1 N l Y 3 R p b 2 4 x L 0 F 1 d G 8 g T G l i c m F y e S 9 B d X R v U m V t b 3 Z l Z E N v b H V t b n M x L n t D b 2 x 1 b W 4 x M C w 5 f S Z x d W 9 0 O y w m c X V v d D t T Z W N 0 a W 9 u M S 9 B d X R v I E x p Y n J h c n k v Q X V 0 b 1 J l b W 9 2 Z W R D b 2 x 1 b W 5 z M S 5 7 Q 2 9 s d W 1 u M T E s M T B 9 J n F 1 b 3 Q 7 L C Z x d W 9 0 O 1 N l Y 3 R p b 2 4 x L 0 F 1 d G 8 g T G l i c m F y e S 9 B d X R v U m V t b 3 Z l Z E N v b H V t b n M x L n t D b 2 x 1 b W 4 x M i w x M X 0 m c X V v d D s s J n F 1 b 3 Q 7 U 2 V j d G l v b j E v Q X V 0 b y B M a W J y Y X J 5 L 0 F 1 d G 9 S Z W 1 v d m V k Q 2 9 s d W 1 u c z E u e 0 N v b H V t b j E z L D E y f S Z x d W 9 0 O y w m c X V v d D t T Z W N 0 a W 9 u M S 9 B d X R v I E x p Y n J h c n k v Q X V 0 b 1 J l b W 9 2 Z W R D b 2 x 1 b W 5 z M S 5 7 Q 2 9 s d W 1 u M T Q s M T N 9 J n F 1 b 3 Q 7 L C Z x d W 9 0 O 1 N l Y 3 R p b 2 4 x L 0 F 1 d G 8 g T G l i c m F y e S 9 B d X R v U m V t b 3 Z l Z E N v b H V t b n M x L n t D b 2 x 1 b W 4 x N S w x N H 0 m c X V v d D s s J n F 1 b 3 Q 7 U 2 V j d G l v b j E v Q X V 0 b y B M a W J y Y X J 5 L 0 F 1 d G 9 S Z W 1 v d m V k Q 2 9 s d W 1 u c z E u e 0 N v b H V t b j E 2 L D E 1 f S Z x d W 9 0 O y w m c X V v d D t T Z W N 0 a W 9 u M S 9 B d X R v I E x p Y n J h c n k v Q X V 0 b 1 J l b W 9 2 Z W R D b 2 x 1 b W 5 z M S 5 7 Q 2 9 s d W 1 u M T c s M T Z 9 J n F 1 b 3 Q 7 L C Z x d W 9 0 O 1 N l Y 3 R p b 2 4 x L 0 F 1 d G 8 g T G l i c m F y e S 9 B d X R v U m V t b 3 Z l Z E N v b H V t b n M x L n t D b 2 x 1 b W 4 x O C w x N 3 0 m c X V v d D s s J n F 1 b 3 Q 7 U 2 V j d G l v b j E v Q X V 0 b y B M a W J y Y X J 5 L 0 F 1 d G 9 S Z W 1 v d m V k Q 2 9 s d W 1 u c z E u e 0 N v b H V t b j E 5 L D E 4 f S Z x d W 9 0 O y w m c X V v d D t T Z W N 0 a W 9 u M S 9 B d X R v I E x p Y n J h c n k v Q X V 0 b 1 J l b W 9 2 Z W R D b 2 x 1 b W 5 z M S 5 7 Q 2 9 s d W 1 u M j A s M T l 9 J n F 1 b 3 Q 7 L C Z x d W 9 0 O 1 N l Y 3 R p b 2 4 x L 0 F 1 d G 8 g T G l i c m F y e S 9 B d X R v U m V t b 3 Z l Z E N v b H V t b n M x L n t D b 2 x 1 b W 4 y M S w y M H 0 m c X V v d D s s J n F 1 b 3 Q 7 U 2 V j d G l v b j E v Q X V 0 b y B M a W J y Y X J 5 L 0 F 1 d G 9 S Z W 1 v d m V k Q 2 9 s d W 1 u c z E u e 0 N v b H V t b j I y L D I x f S Z x d W 9 0 O y w m c X V v d D t T Z W N 0 a W 9 u M S 9 B d X R v I E x p Y n J h c n k v Q X V 0 b 1 J l b W 9 2 Z W R D b 2 x 1 b W 5 z M S 5 7 Q 2 9 s d W 1 u M j M s M j J 9 J n F 1 b 3 Q 7 L C Z x d W 9 0 O 1 N l Y 3 R p b 2 4 x L 0 F 1 d G 8 g T G l i c m F y e S 9 B d X R v U m V t b 3 Z l Z E N v b H V t b n M x L n t D b 2 x 1 b W 4 y N C w y M 3 0 m c X V v d D s s J n F 1 b 3 Q 7 U 2 V j d G l v b j E v Q X V 0 b y B M a W J y Y X J 5 L 0 F 1 d G 9 S Z W 1 v d m V k Q 2 9 s d W 1 u c z E u e 0 N v b H V t b j I 1 L D I 0 f S Z x d W 9 0 O y w m c X V v d D t T Z W N 0 a W 9 u M S 9 B d X R v I E x p Y n J h c n k v Q X V 0 b 1 J l b W 9 2 Z W R D b 2 x 1 b W 5 z M S 5 7 Q 2 9 s d W 1 u M j Y s M j V 9 J n F 1 b 3 Q 7 L C Z x d W 9 0 O 1 N l Y 3 R p b 2 4 x L 0 F 1 d G 8 g T G l i c m F y e S 9 B d X R v U m V t b 3 Z l Z E N v b H V t b n M x L n t D b 2 x 1 b W 4 y N y w y N n 0 m c X V v d D s s J n F 1 b 3 Q 7 U 2 V j d G l v b j E v Q X V 0 b y B M a W J y Y X J 5 L 0 F 1 d G 9 S Z W 1 v d m V k Q 2 9 s d W 1 u c z E u e 0 N v b H V t b j I 4 L D I 3 f S Z x d W 9 0 O y w m c X V v d D t T Z W N 0 a W 9 u M S 9 B d X R v I E x p Y n J h c n k v Q X V 0 b 1 J l b W 9 2 Z W R D b 2 x 1 b W 5 z M S 5 7 Q 2 9 s d W 1 u M j k s M j h 9 J n F 1 b 3 Q 7 L C Z x d W 9 0 O 1 N l Y 3 R p b 2 4 x L 0 F 1 d G 8 g T G l i c m F y e S 9 B d X R v U m V t b 3 Z l Z E N v b H V t b n M x L n t D b 2 x 1 b W 4 z M C w y O X 0 m c X V v d D s s J n F 1 b 3 Q 7 U 2 V j d G l v b j E v Q X V 0 b y B M a W J y Y X J 5 L 0 F 1 d G 9 S Z W 1 v d m V k Q 2 9 s d W 1 u c z E u e 0 N v b H V t b j M x L D M w f S Z x d W 9 0 O 1 0 s J n F 1 b 3 Q 7 Q 2 9 s d W 1 u Q 2 9 1 b n Q m c X V v d D s 6 M z E s J n F 1 b 3 Q 7 S 2 V 5 Q 2 9 s d W 1 u T m F t Z X M m c X V v d D s 6 W 1 0 s J n F 1 b 3 Q 7 Q 2 9 s d W 1 u S W R l b n R p d G l l c y Z x d W 9 0 O z p b J n F 1 b 3 Q 7 U 2 V j d G l v b j E v Q X V 0 b y B M a W J y Y X J 5 L 0 F 1 d G 9 S Z W 1 v d m V k Q 2 9 s d W 1 u c z E u e 0 N v b H V t b j E s M H 0 m c X V v d D s s J n F 1 b 3 Q 7 U 2 V j d G l v b j E v Q X V 0 b y B M a W J y Y X J 5 L 0 F 1 d G 9 S Z W 1 v d m V k Q 2 9 s d W 1 u c z E u e 0 N v b H V t b j I s M X 0 m c X V v d D s s J n F 1 b 3 Q 7 U 2 V j d G l v b j E v Q X V 0 b y B M a W J y Y X J 5 L 0 F 1 d G 9 S Z W 1 v d m V k Q 2 9 s d W 1 u c z E u e 0 N v b H V t b j M s M n 0 m c X V v d D s s J n F 1 b 3 Q 7 U 2 V j d G l v b j E v Q X V 0 b y B M a W J y Y X J 5 L 0 F 1 d G 9 S Z W 1 v d m V k Q 2 9 s d W 1 u c z E u e 0 N v b H V t b j Q s M 3 0 m c X V v d D s s J n F 1 b 3 Q 7 U 2 V j d G l v b j E v Q X V 0 b y B M a W J y Y X J 5 L 0 F 1 d G 9 S Z W 1 v d m V k Q 2 9 s d W 1 u c z E u e 0 N v b H V t b j U s N H 0 m c X V v d D s s J n F 1 b 3 Q 7 U 2 V j d G l v b j E v Q X V 0 b y B M a W J y Y X J 5 L 0 F 1 d G 9 S Z W 1 v d m V k Q 2 9 s d W 1 u c z E u e 0 N v b H V t b j Y s N X 0 m c X V v d D s s J n F 1 b 3 Q 7 U 2 V j d G l v b j E v Q X V 0 b y B M a W J y Y X J 5 L 0 F 1 d G 9 S Z W 1 v d m V k Q 2 9 s d W 1 u c z E u e 0 N v b H V t b j c s N n 0 m c X V v d D s s J n F 1 b 3 Q 7 U 2 V j d G l v b j E v Q X V 0 b y B M a W J y Y X J 5 L 0 F 1 d G 9 S Z W 1 v d m V k Q 2 9 s d W 1 u c z E u e 0 N v b H V t b j g s N 3 0 m c X V v d D s s J n F 1 b 3 Q 7 U 2 V j d G l v b j E v Q X V 0 b y B M a W J y Y X J 5 L 0 F 1 d G 9 S Z W 1 v d m V k Q 2 9 s d W 1 u c z E u e 0 N v b H V t b j k s O H 0 m c X V v d D s s J n F 1 b 3 Q 7 U 2 V j d G l v b j E v Q X V 0 b y B M a W J y Y X J 5 L 0 F 1 d G 9 S Z W 1 v d m V k Q 2 9 s d W 1 u c z E u e 0 N v b H V t b j E w L D l 9 J n F 1 b 3 Q 7 L C Z x d W 9 0 O 1 N l Y 3 R p b 2 4 x L 0 F 1 d G 8 g T G l i c m F y e S 9 B d X R v U m V t b 3 Z l Z E N v b H V t b n M x L n t D b 2 x 1 b W 4 x M S w x M H 0 m c X V v d D s s J n F 1 b 3 Q 7 U 2 V j d G l v b j E v Q X V 0 b y B M a W J y Y X J 5 L 0 F 1 d G 9 S Z W 1 v d m V k Q 2 9 s d W 1 u c z E u e 0 N v b H V t b j E y L D E x f S Z x d W 9 0 O y w m c X V v d D t T Z W N 0 a W 9 u M S 9 B d X R v I E x p Y n J h c n k v Q X V 0 b 1 J l b W 9 2 Z W R D b 2 x 1 b W 5 z M S 5 7 Q 2 9 s d W 1 u M T M s M T J 9 J n F 1 b 3 Q 7 L C Z x d W 9 0 O 1 N l Y 3 R p b 2 4 x L 0 F 1 d G 8 g T G l i c m F y e S 9 B d X R v U m V t b 3 Z l Z E N v b H V t b n M x L n t D b 2 x 1 b W 4 x N C w x M 3 0 m c X V v d D s s J n F 1 b 3 Q 7 U 2 V j d G l v b j E v Q X V 0 b y B M a W J y Y X J 5 L 0 F 1 d G 9 S Z W 1 v d m V k Q 2 9 s d W 1 u c z E u e 0 N v b H V t b j E 1 L D E 0 f S Z x d W 9 0 O y w m c X V v d D t T Z W N 0 a W 9 u M S 9 B d X R v I E x p Y n J h c n k v Q X V 0 b 1 J l b W 9 2 Z W R D b 2 x 1 b W 5 z M S 5 7 Q 2 9 s d W 1 u M T Y s M T V 9 J n F 1 b 3 Q 7 L C Z x d W 9 0 O 1 N l Y 3 R p b 2 4 x L 0 F 1 d G 8 g T G l i c m F y e S 9 B d X R v U m V t b 3 Z l Z E N v b H V t b n M x L n t D b 2 x 1 b W 4 x N y w x N n 0 m c X V v d D s s J n F 1 b 3 Q 7 U 2 V j d G l v b j E v Q X V 0 b y B M a W J y Y X J 5 L 0 F 1 d G 9 S Z W 1 v d m V k Q 2 9 s d W 1 u c z E u e 0 N v b H V t b j E 4 L D E 3 f S Z x d W 9 0 O y w m c X V v d D t T Z W N 0 a W 9 u M S 9 B d X R v I E x p Y n J h c n k v Q X V 0 b 1 J l b W 9 2 Z W R D b 2 x 1 b W 5 z M S 5 7 Q 2 9 s d W 1 u M T k s M T h 9 J n F 1 b 3 Q 7 L C Z x d W 9 0 O 1 N l Y 3 R p b 2 4 x L 0 F 1 d G 8 g T G l i c m F y e S 9 B d X R v U m V t b 3 Z l Z E N v b H V t b n M x L n t D b 2 x 1 b W 4 y M C w x O X 0 m c X V v d D s s J n F 1 b 3 Q 7 U 2 V j d G l v b j E v Q X V 0 b y B M a W J y Y X J 5 L 0 F 1 d G 9 S Z W 1 v d m V k Q 2 9 s d W 1 u c z E u e 0 N v b H V t b j I x L D I w f S Z x d W 9 0 O y w m c X V v d D t T Z W N 0 a W 9 u M S 9 B d X R v I E x p Y n J h c n k v Q X V 0 b 1 J l b W 9 2 Z W R D b 2 x 1 b W 5 z M S 5 7 Q 2 9 s d W 1 u M j I s M j F 9 J n F 1 b 3 Q 7 L C Z x d W 9 0 O 1 N l Y 3 R p b 2 4 x L 0 F 1 d G 8 g T G l i c m F y e S 9 B d X R v U m V t b 3 Z l Z E N v b H V t b n M x L n t D b 2 x 1 b W 4 y M y w y M n 0 m c X V v d D s s J n F 1 b 3 Q 7 U 2 V j d G l v b j E v Q X V 0 b y B M a W J y Y X J 5 L 0 F 1 d G 9 S Z W 1 v d m V k Q 2 9 s d W 1 u c z E u e 0 N v b H V t b j I 0 L D I z f S Z x d W 9 0 O y w m c X V v d D t T Z W N 0 a W 9 u M S 9 B d X R v I E x p Y n J h c n k v Q X V 0 b 1 J l b W 9 2 Z W R D b 2 x 1 b W 5 z M S 5 7 Q 2 9 s d W 1 u M j U s M j R 9 J n F 1 b 3 Q 7 L C Z x d W 9 0 O 1 N l Y 3 R p b 2 4 x L 0 F 1 d G 8 g T G l i c m F y e S 9 B d X R v U m V t b 3 Z l Z E N v b H V t b n M x L n t D b 2 x 1 b W 4 y N i w y N X 0 m c X V v d D s s J n F 1 b 3 Q 7 U 2 V j d G l v b j E v Q X V 0 b y B M a W J y Y X J 5 L 0 F 1 d G 9 S Z W 1 v d m V k Q 2 9 s d W 1 u c z E u e 0 N v b H V t b j I 3 L D I 2 f S Z x d W 9 0 O y w m c X V v d D t T Z W N 0 a W 9 u M S 9 B d X R v I E x p Y n J h c n k v Q X V 0 b 1 J l b W 9 2 Z W R D b 2 x 1 b W 5 z M S 5 7 Q 2 9 s d W 1 u M j g s M j d 9 J n F 1 b 3 Q 7 L C Z x d W 9 0 O 1 N l Y 3 R p b 2 4 x L 0 F 1 d G 8 g T G l i c m F y e S 9 B d X R v U m V t b 3 Z l Z E N v b H V t b n M x L n t D b 2 x 1 b W 4 y O S w y O H 0 m c X V v d D s s J n F 1 b 3 Q 7 U 2 V j d G l v b j E v Q X V 0 b y B M a W J y Y X J 5 L 0 F 1 d G 9 S Z W 1 v d m V k Q 2 9 s d W 1 u c z E u e 0 N v b H V t b j M w L D I 5 f S Z x d W 9 0 O y w m c X V v d D t T Z W N 0 a W 9 u M S 9 B d X R v I E x p Y n J h c n k v Q X V 0 b 1 J l b W 9 2 Z W R D b 2 x 1 b W 5 z M S 5 7 Q 2 9 s d W 1 u M z E s M z B 9 J n F 1 b 3 Q 7 X S w m c X V v d D t S Z W x h d G l v b n N o a X B J b m Z v J n F 1 b 3 Q 7 O l t d f S I g L z 4 8 L 1 N 0 Y W J s Z U V u d H J p Z X M + P C 9 J d G V t P j x J d G V t P j x J d G V t T G 9 j Y X R p b 2 4 + P E l 0 Z W 1 U e X B l P k Z v c m 1 1 b G E 8 L 0 l 0 Z W 1 U e X B l P j x J d G V t U G F 0 a D 5 T Z W N 0 a W 9 u M S 9 B d X R v J T I w T G l i c m F y e S 9 T b 3 V y Y 2 U 8 L 0 l 0 Z W 1 Q Y X R o P j w v S X R l b U x v Y 2 F 0 a W 9 u P j x T d G F i b G V F b n R y a W V z I C 8 + P C 9 J d G V t P j x J d G V t P j x J d G V t T G 9 j Y X R p b 2 4 + P E l 0 Z W 1 U e X B l P k Z v c m 1 1 b G E 8 L 0 l 0 Z W 1 U e X B l P j x J d G V t U G F 0 a D 5 T Z W N 0 a W 9 u M S 9 B d X R v J T I w T G l i c m F y e S 9 O Y X Z p Z 2 F 0 a W 9 u J T I w M T w v S X R l b V B h d G g + P C 9 J d G V t T G 9 j Y X R p b 2 4 + P F N 0 Y W J s Z U V u d H J p Z X M g L z 4 8 L 0 l 0 Z W 0 + P E l 0 Z W 0 + P E l 0 Z W 1 M b 2 N h d G l v b j 4 8 S X R l b V R 5 c G U + R m 9 y b X V s Y T w v S X R l b V R 5 c G U + P E l 0 Z W 1 Q Y X R o P l N l Y 3 R p b 2 4 x L 0 F 1 d G 8 l M j B M a W J y Y X J 5 L 0 N o Y W 5 n Z W Q l M j B j b 2 x 1 b W 4 l M j B 0 e X B l P C 9 J d G V t U G F 0 a D 4 8 L 0 l 0 Z W 1 M b 2 N h d G l v b j 4 8 U 3 R h Y m x l R W 5 0 c m l l c y A v P j w v S X R l b T 4 8 L 0 l 0 Z W 1 z P j w v T G 9 j Y W x Q Y W N r Y W d l T W V 0 Y W R h d G F G a W x l P h Y A A A B Q S w U G A A A A A A A A A A A A A A A A A A A A A A A A J g E A A A E A A A D Q j J 3 f A R X R E Y x 6 A M B P w p f r A Q A A A F b G W M 8 X l X l O t M M Y D T s j q R E A A A A A A g A A A A A A E G Y A A A A B A A A g A A A A S F k Y r I P B B U q h q C h q T S K G l b 6 1 / l N 4 h 3 f W n R m 9 z q + v 5 f o A A A A A D o A A A A A C A A A g A A A A Q R 2 U Q P v i Z h / i f l e V b L y L E W r 3 n 7 x K n b a 7 O 5 b G p h Z 7 b d p Q A A A A x W a o A 5 I n K 3 m s q p j l j x 7 B A J Y 5 D c 8 a / e I P e t d l K 7 J 5 E 0 F 2 S M q v p r 4 9 c v B N X / h X l U H Y s P R f 5 T / a q G W r G I O K R X D 7 T r s Q f F A h c + q 3 j E P l 4 G W m T m t A A A A A s D X F N M w 0 l I y b 3 K Z W S d 0 r W a M Z s B M g 0 z M B B 2 I n 6 7 F M 7 h 9 F T 8 e 1 K G j Y c 3 r K / w X B 4 b I X f H E O J s H M H k m u a k j M + B 5 B 6 Q = = < / D a t a M a s h u p > 
</file>

<file path=customXml/itemProps1.xml><?xml version="1.0" encoding="utf-8"?>
<ds:datastoreItem xmlns:ds="http://schemas.openxmlformats.org/officeDocument/2006/customXml" ds:itemID="{BDEF6B67-58B8-4A8E-811B-9A35E97D5E77}"/>
</file>

<file path=customXml/itemProps2.xml><?xml version="1.0" encoding="utf-8"?>
<ds:datastoreItem xmlns:ds="http://schemas.openxmlformats.org/officeDocument/2006/customXml" ds:itemID="{BC9F2B59-3542-484F-ABED-EC8F816A5134}"/>
</file>

<file path=customXml/itemProps3.xml><?xml version="1.0" encoding="utf-8"?>
<ds:datastoreItem xmlns:ds="http://schemas.openxmlformats.org/officeDocument/2006/customXml" ds:itemID="{CFBDB9BD-FA9A-48F8-B112-BF19FE6D9FC5}"/>
</file>

<file path=customXml/itemProps4.xml><?xml version="1.0" encoding="utf-8"?>
<ds:datastoreItem xmlns:ds="http://schemas.openxmlformats.org/officeDocument/2006/customXml" ds:itemID="{C791A0FD-A993-014E-A4BE-D0014BAF5EA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Cameron Small</dc:creator>
  <cp:keywords/>
  <dc:description/>
  <cp:lastModifiedBy/>
  <cp:revision/>
  <dcterms:created xsi:type="dcterms:W3CDTF">2015-06-05T18:17:20Z</dcterms:created>
  <dcterms:modified xsi:type="dcterms:W3CDTF">2024-01-18T19:25:57Z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0x0101006561D98692BCE2468F1E72BCCEC4CFC1</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Order">
    <vt:r8>757800</vt:r8>
  </property>
</Properties>
</file>